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460" windowWidth="32767" windowHeight="28340" tabRatio="481" activeTab="0"/>
  </bookViews>
  <sheets>
    <sheet name="Table 5-4" sheetId="1" r:id="rId1"/>
  </sheets>
  <definedNames/>
  <calcPr fullCalcOnLoad="1"/>
</workbook>
</file>

<file path=xl/sharedStrings.xml><?xml version="1.0" encoding="utf-8"?>
<sst xmlns="http://schemas.openxmlformats.org/spreadsheetml/2006/main" count="74" uniqueCount="18">
  <si>
    <t>Depth of interface (m)</t>
  </si>
  <si>
    <t>k</t>
  </si>
  <si>
    <t>n</t>
  </si>
  <si>
    <t>k-factor</t>
  </si>
  <si>
    <t>divisor 1</t>
  </si>
  <si>
    <t>divisor 2</t>
  </si>
  <si>
    <t>sum 1</t>
  </si>
  <si>
    <t>sum 2</t>
  </si>
  <si>
    <t>Column Totals</t>
  </si>
  <si>
    <r>
      <t>Apparent resistivity (</t>
    </r>
    <r>
      <rPr>
        <sz val="12"/>
        <rFont val="Symbol"/>
        <family val="0"/>
      </rPr>
      <t>W</t>
    </r>
    <r>
      <rPr>
        <sz val="12"/>
        <rFont val="Times"/>
        <family val="1"/>
      </rPr>
      <t>·m)</t>
    </r>
  </si>
  <si>
    <r>
      <t>r</t>
    </r>
    <r>
      <rPr>
        <sz val="12"/>
        <rFont val="Symbol"/>
        <family val="0"/>
      </rPr>
      <t xml:space="preserve">1 </t>
    </r>
  </si>
  <si>
    <r>
      <t>r</t>
    </r>
    <r>
      <rPr>
        <sz val="12"/>
        <rFont val="Symbol"/>
        <family val="0"/>
      </rPr>
      <t>2</t>
    </r>
  </si>
  <si>
    <r>
      <t xml:space="preserve">Electrode spacing  </t>
    </r>
    <r>
      <rPr>
        <i/>
        <sz val="12"/>
        <rFont val="Times"/>
        <family val="1"/>
      </rPr>
      <t xml:space="preserve">a </t>
    </r>
    <r>
      <rPr>
        <sz val="12"/>
        <rFont val="Times"/>
        <family val="1"/>
      </rPr>
      <t>m</t>
    </r>
  </si>
  <si>
    <t>Observed</t>
  </si>
  <si>
    <t>Modeled</t>
  </si>
  <si>
    <t>(RMS Misfit)</t>
  </si>
  <si>
    <t>a-spacing</t>
  </si>
  <si>
    <t>RMS Misfit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</si>
</sst>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1"/>
    </font>
    <font>
      <b/>
      <sz val="12"/>
      <name val="Times"/>
      <family val="1"/>
    </font>
    <font>
      <sz val="12"/>
      <name val="Symbol"/>
      <family val="0"/>
    </font>
    <font>
      <sz val="10"/>
      <name val="Times"/>
      <family val="1"/>
    </font>
    <font>
      <i/>
      <sz val="12"/>
      <name val="Symbol"/>
      <family val="0"/>
    </font>
    <font>
      <i/>
      <sz val="12"/>
      <name val="Times"/>
      <family val="1"/>
    </font>
    <font>
      <u val="single"/>
      <sz val="10"/>
      <color indexed="12"/>
      <name val="Geneva"/>
      <family val="2"/>
    </font>
    <font>
      <u val="single"/>
      <sz val="10"/>
      <color indexed="61"/>
      <name val="Geneva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13.5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3.5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2" fontId="7" fillId="33" borderId="13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7" fillId="33" borderId="15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4" fillId="33" borderId="18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2" fontId="0" fillId="33" borderId="14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center"/>
    </xf>
    <xf numFmtId="165" fontId="7" fillId="33" borderId="0" xfId="0" applyNumberFormat="1" applyFont="1" applyFill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5" fontId="4" fillId="33" borderId="20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7"/>
          <c:w val="0.9085"/>
          <c:h val="0.864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'Table 5-4'!$K$2:$K$9</c:f>
              <c:numCache/>
            </c:numRef>
          </c:xVal>
          <c:yVal>
            <c:numRef>
              <c:f>'Table 5-4'!$L$2:$L$9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'Table 5-4'!$K$2:$K$9</c:f>
              <c:numCache/>
            </c:numRef>
          </c:xVal>
          <c:yVal>
            <c:numRef>
              <c:f>'Table 5-4'!$M$2:$M$9</c:f>
              <c:numCache/>
            </c:numRef>
          </c:yVal>
          <c:smooth val="1"/>
        </c:ser>
        <c:axId val="64717135"/>
        <c:axId val="45583304"/>
      </c:scatterChart>
      <c:valAx>
        <c:axId val="6471713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</a:rPr>
                  <a:t>Array Spacing a (m)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0"/>
        <c:crossBetween val="midCat"/>
        <c:dispUnits/>
        <c:majorUnit val="5"/>
        <c:minorUnit val="1"/>
      </c:valAx>
      <c:valAx>
        <c:axId val="4558330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</a:rPr>
                  <a:t>Apparent Resistivity (Ohm 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0"/>
        <c:crossBetween val="midCat"/>
        <c:dispUnits/>
        <c:majorUnit val="5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15</xdr:row>
      <xdr:rowOff>66675</xdr:rowOff>
    </xdr:from>
    <xdr:to>
      <xdr:col>16</xdr:col>
      <xdr:colOff>542925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219825" y="3038475"/>
        <a:ext cx="71913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zoomScalePageLayoutView="0" workbookViewId="0" topLeftCell="A1">
      <selection activeCell="C6" sqref="C6"/>
    </sheetView>
  </sheetViews>
  <sheetFormatPr defaultColWidth="11.00390625" defaultRowHeight="12.75"/>
  <cols>
    <col min="1" max="1" width="2.00390625" style="0" customWidth="1"/>
    <col min="2" max="2" width="19.25390625" style="0" customWidth="1"/>
    <col min="4" max="4" width="11.375" style="0" customWidth="1"/>
    <col min="5" max="5" width="13.00390625" style="0" customWidth="1"/>
    <col min="8" max="8" width="2.25390625" style="0" customWidth="1"/>
  </cols>
  <sheetData>
    <row r="1" spans="1:13" ht="13.5">
      <c r="A1" s="2"/>
      <c r="B1" s="3"/>
      <c r="C1" s="3"/>
      <c r="D1" s="3"/>
      <c r="E1" s="3"/>
      <c r="F1" s="3"/>
      <c r="G1" s="3"/>
      <c r="H1" s="4"/>
      <c r="K1" t="s">
        <v>16</v>
      </c>
      <c r="L1" t="s">
        <v>14</v>
      </c>
      <c r="M1" t="s">
        <v>13</v>
      </c>
    </row>
    <row r="2" spans="1:17" ht="16.5" customHeight="1">
      <c r="A2" s="5"/>
      <c r="B2" s="6" t="s">
        <v>12</v>
      </c>
      <c r="C2" s="40">
        <v>3</v>
      </c>
      <c r="D2" s="7"/>
      <c r="E2" s="27"/>
      <c r="F2" s="27"/>
      <c r="G2" s="7"/>
      <c r="H2" s="8"/>
      <c r="J2" s="1"/>
      <c r="K2" s="41">
        <f>C2</f>
        <v>3</v>
      </c>
      <c r="L2" s="41">
        <f>$C$4*(1+(4*$F$28)-(2*$G$28))</f>
        <v>19.867422125098955</v>
      </c>
      <c r="M2" s="1">
        <v>20.99</v>
      </c>
      <c r="N2" s="43">
        <f aca="true" t="shared" si="0" ref="N2:N10">(L2-M2)^2</f>
        <v>1.2601810852173434</v>
      </c>
      <c r="O2" s="1"/>
      <c r="P2" s="1"/>
      <c r="Q2" s="1"/>
    </row>
    <row r="3" spans="1:17" ht="15" customHeight="1">
      <c r="A3" s="5"/>
      <c r="B3" s="9" t="s">
        <v>0</v>
      </c>
      <c r="C3" s="39">
        <v>1</v>
      </c>
      <c r="D3" s="10"/>
      <c r="E3" s="29" t="s">
        <v>9</v>
      </c>
      <c r="F3" s="30"/>
      <c r="G3" s="38">
        <f>$C$4*(1+(4*$F$28)-(2*$G$28))</f>
        <v>19.867422125098955</v>
      </c>
      <c r="H3" s="8"/>
      <c r="I3" s="1"/>
      <c r="J3" s="1"/>
      <c r="K3" s="41">
        <f>2*C2</f>
        <v>6</v>
      </c>
      <c r="L3" s="38">
        <f>$C$4*(1+(4*$F$48)-(2*$G$48))</f>
        <v>37.579540129998215</v>
      </c>
      <c r="M3" s="1">
        <v>46.99</v>
      </c>
      <c r="N3" s="43">
        <f t="shared" si="0"/>
        <v>88.55675496491406</v>
      </c>
      <c r="O3" s="1"/>
      <c r="P3" s="1"/>
      <c r="Q3" s="1"/>
    </row>
    <row r="4" spans="1:17" ht="15.75">
      <c r="A4" s="5"/>
      <c r="B4" s="31" t="s">
        <v>10</v>
      </c>
      <c r="C4" s="39">
        <v>5</v>
      </c>
      <c r="D4" s="7"/>
      <c r="E4" s="27"/>
      <c r="F4" s="28"/>
      <c r="G4" s="7"/>
      <c r="H4" s="8"/>
      <c r="I4" s="1"/>
      <c r="J4" s="1"/>
      <c r="K4" s="41">
        <f>3*C2</f>
        <v>9</v>
      </c>
      <c r="L4" s="38">
        <f>$C$4*(1+(4*$F$67)-(2*$G$67))</f>
        <v>52.9094565333218</v>
      </c>
      <c r="M4" s="1">
        <v>72.53</v>
      </c>
      <c r="N4" s="43">
        <f t="shared" si="0"/>
        <v>384.9657259278086</v>
      </c>
      <c r="O4" s="1"/>
      <c r="P4" s="1"/>
      <c r="Q4" s="1"/>
    </row>
    <row r="5" spans="1:17" ht="15.75">
      <c r="A5" s="5"/>
      <c r="B5" s="31" t="s">
        <v>11</v>
      </c>
      <c r="C5" s="39">
        <v>500</v>
      </c>
      <c r="D5" s="7"/>
      <c r="E5" s="7"/>
      <c r="F5" s="7"/>
      <c r="G5" s="7"/>
      <c r="H5" s="8"/>
      <c r="I5" s="1"/>
      <c r="J5" s="1"/>
      <c r="K5" s="41">
        <f>4*C2</f>
        <v>12</v>
      </c>
      <c r="L5" s="42">
        <f>$C$4*(1+(4*$F$86)-(2*$G$86))</f>
        <v>65.84331646165194</v>
      </c>
      <c r="M5" s="1">
        <v>97.07</v>
      </c>
      <c r="N5" s="43">
        <f t="shared" si="0"/>
        <v>975.1057648041374</v>
      </c>
      <c r="O5" s="1"/>
      <c r="P5" s="1"/>
      <c r="Q5" s="1"/>
    </row>
    <row r="6" spans="1:17" ht="15.75">
      <c r="A6" s="5"/>
      <c r="B6" s="11" t="s">
        <v>17</v>
      </c>
      <c r="C6" s="12">
        <f>N14</f>
        <v>55.15595578064921</v>
      </c>
      <c r="D6" s="7"/>
      <c r="E6" s="7"/>
      <c r="F6" s="7"/>
      <c r="G6" s="7"/>
      <c r="H6" s="8"/>
      <c r="I6" s="1"/>
      <c r="J6" s="1"/>
      <c r="K6" s="41">
        <f>5*C2</f>
        <v>15</v>
      </c>
      <c r="L6" s="42">
        <f>$C$4*(1+(4*$F$105)-(2*$G$105))</f>
        <v>76.56982355786758</v>
      </c>
      <c r="M6" s="1">
        <v>125.94</v>
      </c>
      <c r="N6" s="43">
        <f t="shared" si="0"/>
        <v>2437.414321927287</v>
      </c>
      <c r="O6" s="1"/>
      <c r="P6" s="1"/>
      <c r="Q6" s="1"/>
    </row>
    <row r="7" spans="1:17" ht="15.75">
      <c r="A7" s="5"/>
      <c r="B7" s="7"/>
      <c r="C7" s="7"/>
      <c r="D7" s="7"/>
      <c r="E7" s="7"/>
      <c r="F7" s="7"/>
      <c r="G7" s="7"/>
      <c r="H7" s="8"/>
      <c r="I7" s="1"/>
      <c r="J7" s="1"/>
      <c r="K7" s="41">
        <f>6*C2</f>
        <v>18</v>
      </c>
      <c r="L7" s="42">
        <f>$C$4*(1+(4*$F$124)-(2*$G$124))</f>
        <v>85.38038477365376</v>
      </c>
      <c r="M7" s="1">
        <v>128.74</v>
      </c>
      <c r="N7" s="43">
        <f t="shared" si="0"/>
        <v>1880.0562325767976</v>
      </c>
      <c r="O7" s="1"/>
      <c r="P7" s="1"/>
      <c r="Q7" s="1"/>
    </row>
    <row r="8" spans="1:17" ht="15.75">
      <c r="A8" s="5"/>
      <c r="B8" s="2"/>
      <c r="C8" s="3"/>
      <c r="D8" s="13"/>
      <c r="E8" s="13"/>
      <c r="F8" s="3"/>
      <c r="G8" s="14"/>
      <c r="H8" s="8"/>
      <c r="I8" s="1"/>
      <c r="J8" s="1"/>
      <c r="K8" s="41">
        <f>7*C2</f>
        <v>21</v>
      </c>
      <c r="L8" s="42">
        <f>$C$4*(1+(4*$F$143)-(2*$G$143))</f>
        <v>92.58935864407853</v>
      </c>
      <c r="M8" s="1"/>
      <c r="N8" s="43">
        <f t="shared" si="0"/>
        <v>8572.789334121799</v>
      </c>
      <c r="O8" s="1"/>
      <c r="P8" s="1"/>
      <c r="Q8" s="1"/>
    </row>
    <row r="9" spans="1:17" ht="15.75">
      <c r="A9" s="5"/>
      <c r="B9" s="18" t="s">
        <v>1</v>
      </c>
      <c r="C9" s="36">
        <f>(C5-C4)/(C5+C4)</f>
        <v>0.9801980198019802</v>
      </c>
      <c r="D9" s="19"/>
      <c r="E9" s="19"/>
      <c r="F9" s="20"/>
      <c r="G9" s="21"/>
      <c r="H9" s="8"/>
      <c r="I9" s="1"/>
      <c r="J9" s="1"/>
      <c r="K9" s="41">
        <f>8*C2</f>
        <v>24</v>
      </c>
      <c r="L9" s="42">
        <f>$C$4*(1+(4*$F$162)-(2*$G$162))</f>
        <v>98.48901643413468</v>
      </c>
      <c r="M9" s="1">
        <v>223.1</v>
      </c>
      <c r="N9" s="43">
        <f t="shared" si="0"/>
        <v>15527.897225252354</v>
      </c>
      <c r="O9" s="1"/>
      <c r="P9" s="1"/>
      <c r="Q9" s="1"/>
    </row>
    <row r="10" spans="1:17" ht="15.75">
      <c r="A10" s="5"/>
      <c r="B10" s="22"/>
      <c r="C10" s="20"/>
      <c r="D10" s="20"/>
      <c r="E10" s="20"/>
      <c r="F10" s="20"/>
      <c r="G10" s="23"/>
      <c r="H10" s="15"/>
      <c r="I10" s="1"/>
      <c r="J10" s="1"/>
      <c r="K10" s="41">
        <f>9*C2</f>
        <v>27</v>
      </c>
      <c r="L10" s="42">
        <f>$C$4*(1+(4*$F$181)-(2*$G$181))</f>
        <v>103.3310963682265</v>
      </c>
      <c r="M10" s="1"/>
      <c r="N10" s="43">
        <f t="shared" si="0"/>
        <v>10677.31547665971</v>
      </c>
      <c r="O10" s="1"/>
      <c r="P10" s="1"/>
      <c r="Q10" s="1"/>
    </row>
    <row r="11" spans="1:17" ht="15.75">
      <c r="A11" s="5"/>
      <c r="B11" s="18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21" t="s">
        <v>7</v>
      </c>
      <c r="H11" s="15"/>
      <c r="I11" s="1"/>
      <c r="J11" s="1"/>
      <c r="K11" s="1"/>
      <c r="L11" s="1"/>
      <c r="M11" s="1"/>
      <c r="O11" s="1"/>
      <c r="P11" s="1"/>
      <c r="Q11" s="1"/>
    </row>
    <row r="12" spans="1:17" ht="15.75">
      <c r="A12" s="5"/>
      <c r="B12" s="35">
        <v>1</v>
      </c>
      <c r="C12" s="36">
        <f>$C$9</f>
        <v>0.9801980198019802</v>
      </c>
      <c r="D12" s="36">
        <f aca="true" t="shared" si="1" ref="D12:D26">SQRT(1+(((2*B12*$C$3)/$C$2)*((2*B12*$C$3)/$C$2)))</f>
        <v>1.2018504251546631</v>
      </c>
      <c r="E12" s="36">
        <f aca="true" t="shared" si="2" ref="E12:E26">SQRT(1+(((B12*$C$3)/$C$2)*((B12*$C$3)/$C$2)))</f>
        <v>1.0540925533894598</v>
      </c>
      <c r="F12" s="36">
        <f aca="true" t="shared" si="3" ref="F12:F26">C12/D12</f>
        <v>0.8155740508856091</v>
      </c>
      <c r="G12" s="37">
        <f aca="true" t="shared" si="4" ref="G12:G26">C12/E12</f>
        <v>0.9298974901683253</v>
      </c>
      <c r="H12" s="15"/>
      <c r="I12" s="1"/>
      <c r="J12" s="1"/>
      <c r="K12" s="1"/>
      <c r="L12" s="1"/>
      <c r="M12" s="1"/>
      <c r="O12" s="1"/>
      <c r="P12" s="1"/>
      <c r="Q12" s="1"/>
    </row>
    <row r="13" spans="1:17" ht="15.75">
      <c r="A13" s="5"/>
      <c r="B13" s="35">
        <v>2</v>
      </c>
      <c r="C13" s="36">
        <f>$C$9*$C$9</f>
        <v>0.9607881580237231</v>
      </c>
      <c r="D13" s="36">
        <f t="shared" si="1"/>
        <v>1.6666666666666667</v>
      </c>
      <c r="E13" s="36">
        <f t="shared" si="2"/>
        <v>1.2018504251546631</v>
      </c>
      <c r="F13" s="36">
        <f t="shared" si="3"/>
        <v>0.5764728948142338</v>
      </c>
      <c r="G13" s="37">
        <f t="shared" si="4"/>
        <v>0.7994240696799535</v>
      </c>
      <c r="H13" s="15"/>
      <c r="I13" s="1"/>
      <c r="J13" s="1"/>
      <c r="K13" s="1"/>
      <c r="L13" s="1"/>
      <c r="M13" s="1"/>
      <c r="O13" s="1"/>
      <c r="P13" s="1"/>
      <c r="Q13" s="1"/>
    </row>
    <row r="14" spans="1:17" ht="15.75">
      <c r="A14" s="5"/>
      <c r="B14" s="35">
        <v>3</v>
      </c>
      <c r="C14" s="36">
        <f>$C$9*$C$9*$C$9</f>
        <v>0.9417626499440453</v>
      </c>
      <c r="D14" s="36">
        <f t="shared" si="1"/>
        <v>2.23606797749979</v>
      </c>
      <c r="E14" s="36">
        <f t="shared" si="2"/>
        <v>1.4142135623730951</v>
      </c>
      <c r="F14" s="36">
        <f t="shared" si="3"/>
        <v>0.42116906078904476</v>
      </c>
      <c r="G14" s="37">
        <f t="shared" si="4"/>
        <v>0.6659267560436472</v>
      </c>
      <c r="H14" s="15"/>
      <c r="I14" s="1"/>
      <c r="J14" s="1"/>
      <c r="K14" s="1"/>
      <c r="L14" s="1"/>
      <c r="M14" s="1"/>
      <c r="N14" s="41">
        <f>SQRT(SUM(N2:N7,N9)/7)</f>
        <v>55.15595578064921</v>
      </c>
      <c r="O14" s="1" t="s">
        <v>15</v>
      </c>
      <c r="P14" s="1"/>
      <c r="Q14" s="1"/>
    </row>
    <row r="15" spans="1:17" ht="15.75">
      <c r="A15" s="5"/>
      <c r="B15" s="35">
        <v>4</v>
      </c>
      <c r="C15" s="36">
        <f>$C$9*$C$9*$C$9*$C$9</f>
        <v>0.9231138845986187</v>
      </c>
      <c r="D15" s="36">
        <f t="shared" si="1"/>
        <v>2.848001248439177</v>
      </c>
      <c r="E15" s="36">
        <f t="shared" si="2"/>
        <v>1.6666666666666667</v>
      </c>
      <c r="F15" s="36">
        <f t="shared" si="3"/>
        <v>0.32412692413829647</v>
      </c>
      <c r="G15" s="37">
        <f t="shared" si="4"/>
        <v>0.5538683307591712</v>
      </c>
      <c r="H15" s="15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5"/>
      <c r="B16" s="35">
        <v>5</v>
      </c>
      <c r="C16" s="36">
        <f>$C$9*$C$9*$C$9*$C$9*$C$9</f>
        <v>0.9048344017352796</v>
      </c>
      <c r="D16" s="36">
        <f t="shared" si="1"/>
        <v>3.4801021696368504</v>
      </c>
      <c r="E16" s="36">
        <f t="shared" si="2"/>
        <v>1.9436506316151003</v>
      </c>
      <c r="F16" s="36">
        <f t="shared" si="3"/>
        <v>0.2600022521263217</v>
      </c>
      <c r="G16" s="37">
        <f t="shared" si="4"/>
        <v>0.4655334590576067</v>
      </c>
      <c r="H16" s="15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5"/>
      <c r="B17" s="35">
        <v>6</v>
      </c>
      <c r="C17" s="36">
        <f>C14*C14</f>
        <v>0.8869168888296305</v>
      </c>
      <c r="D17" s="36">
        <f t="shared" si="1"/>
        <v>4.123105625617661</v>
      </c>
      <c r="E17" s="36">
        <f t="shared" si="2"/>
        <v>2.23606797749979</v>
      </c>
      <c r="F17" s="36">
        <f t="shared" si="3"/>
        <v>0.21510894198757427</v>
      </c>
      <c r="G17" s="37">
        <f t="shared" si="4"/>
        <v>0.39664129076313553</v>
      </c>
      <c r="H17" s="15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5"/>
      <c r="B18" s="35">
        <v>7</v>
      </c>
      <c r="C18" s="36">
        <f>C16*C13</f>
        <v>0.8693541781597368</v>
      </c>
      <c r="D18" s="36">
        <f t="shared" si="1"/>
        <v>4.772607021092118</v>
      </c>
      <c r="E18" s="36">
        <f t="shared" si="2"/>
        <v>2.5385910352879697</v>
      </c>
      <c r="F18" s="36">
        <f t="shared" si="3"/>
        <v>0.18215498873418706</v>
      </c>
      <c r="G18" s="37">
        <f t="shared" si="4"/>
        <v>0.34245538807755227</v>
      </c>
      <c r="H18" s="15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5"/>
      <c r="B19" s="35">
        <v>8</v>
      </c>
      <c r="C19" s="36">
        <f>C15*C15</f>
        <v>0.8521392439387518</v>
      </c>
      <c r="D19" s="36">
        <f>SQRT(1+(((2*B19*$C$3)/$C$2)*((2*B19*$C$3)/$C$2)))</f>
        <v>5.426273532033235</v>
      </c>
      <c r="E19" s="36">
        <f t="shared" si="2"/>
        <v>2.848001248439177</v>
      </c>
      <c r="F19" s="36">
        <f t="shared" si="3"/>
        <v>0.15703949292424513</v>
      </c>
      <c r="G19" s="37">
        <f t="shared" si="4"/>
        <v>0.2992060640443046</v>
      </c>
      <c r="H19" s="15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5"/>
      <c r="B20" s="35">
        <v>9</v>
      </c>
      <c r="C20" s="36">
        <f>C18*C13</f>
        <v>0.8352651995043211</v>
      </c>
      <c r="D20" s="36">
        <f>SQRT(1+(((2*B20*$C$3)/$C$2)*((2*B20*$C$3)/$C$2)))</f>
        <v>6.082762530298219</v>
      </c>
      <c r="E20" s="36">
        <f t="shared" si="2"/>
        <v>3.1622776601683795</v>
      </c>
      <c r="F20" s="36">
        <f t="shared" si="3"/>
        <v>0.13731675292991763</v>
      </c>
      <c r="G20" s="37">
        <f t="shared" si="4"/>
        <v>0.2641340480708599</v>
      </c>
      <c r="H20" s="15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5"/>
      <c r="B21" s="35">
        <v>10</v>
      </c>
      <c r="C21" s="36">
        <f>C16*C16</f>
        <v>0.8187252945636414</v>
      </c>
      <c r="D21" s="36">
        <f>SQRT(1+(((2*B21*$C$3)/$C$2)*((2*B21*$C$3)/$C$2)))</f>
        <v>6.741249472052228</v>
      </c>
      <c r="E21" s="36">
        <f t="shared" si="2"/>
        <v>3.4801021696368504</v>
      </c>
      <c r="F21" s="36">
        <f t="shared" si="3"/>
        <v>0.12145008102101851</v>
      </c>
      <c r="G21" s="37">
        <f t="shared" si="4"/>
        <v>0.23525898225254566</v>
      </c>
      <c r="H21" s="15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"/>
      <c r="B22" s="35">
        <v>11</v>
      </c>
      <c r="C22" s="36">
        <f>$C$9^B22</f>
        <v>0.8025129124930742</v>
      </c>
      <c r="D22" s="36">
        <f>SQRT(1+(((2*B22*$C$3)/$C$2)*((2*B22*$C$3)/$C$2)))</f>
        <v>7.401201103724839</v>
      </c>
      <c r="E22" s="36">
        <f t="shared" si="2"/>
        <v>3.8005847503304597</v>
      </c>
      <c r="F22" s="36">
        <f t="shared" si="3"/>
        <v>0.10843009144680443</v>
      </c>
      <c r="G22" s="37">
        <f t="shared" si="4"/>
        <v>0.2111551156498473</v>
      </c>
      <c r="H22" s="15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5"/>
      <c r="B23" s="35">
        <v>12</v>
      </c>
      <c r="C23" s="36">
        <f>$C$9^B23</f>
        <v>0.7866215676912311</v>
      </c>
      <c r="D23" s="36">
        <f t="shared" si="1"/>
        <v>8.06225774829855</v>
      </c>
      <c r="E23" s="36">
        <f t="shared" si="2"/>
        <v>4.123105625617661</v>
      </c>
      <c r="F23" s="36">
        <f t="shared" si="3"/>
        <v>0.09756839737072893</v>
      </c>
      <c r="G23" s="37">
        <f t="shared" si="4"/>
        <v>0.19078375358705285</v>
      </c>
      <c r="H23" s="15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"/>
      <c r="B24" s="35">
        <v>13</v>
      </c>
      <c r="C24" s="36">
        <f>$C$9^B24</f>
        <v>0.771044902984474</v>
      </c>
      <c r="D24" s="36">
        <f t="shared" si="1"/>
        <v>8.724168218868266</v>
      </c>
      <c r="E24" s="36">
        <f t="shared" si="2"/>
        <v>4.447221354708778</v>
      </c>
      <c r="F24" s="36">
        <f t="shared" si="3"/>
        <v>0.08838033422107684</v>
      </c>
      <c r="G24" s="37">
        <f t="shared" si="4"/>
        <v>0.17337677652768088</v>
      </c>
      <c r="H24" s="15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"/>
      <c r="B25" s="35">
        <v>14</v>
      </c>
      <c r="C25" s="36">
        <f>$C$9^B25</f>
        <v>0.7557766870837913</v>
      </c>
      <c r="D25" s="36">
        <f t="shared" si="1"/>
        <v>9.386751893552484</v>
      </c>
      <c r="E25" s="36">
        <f t="shared" si="2"/>
        <v>4.772607021092118</v>
      </c>
      <c r="F25" s="36">
        <f t="shared" si="3"/>
        <v>0.08051525124499292</v>
      </c>
      <c r="G25" s="37">
        <f t="shared" si="4"/>
        <v>0.15835720052870528</v>
      </c>
      <c r="H25" s="15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5"/>
      <c r="B26" s="35">
        <v>15</v>
      </c>
      <c r="C26" s="36">
        <f>$C$9^B26</f>
        <v>0.7408108120920331</v>
      </c>
      <c r="D26" s="36">
        <f t="shared" si="1"/>
        <v>10.04987562112089</v>
      </c>
      <c r="E26" s="36">
        <f t="shared" si="2"/>
        <v>5.0990195135927845</v>
      </c>
      <c r="F26" s="36">
        <f t="shared" si="3"/>
        <v>0.07371343089412369</v>
      </c>
      <c r="G26" s="37">
        <f t="shared" si="4"/>
        <v>0.14528495333606903</v>
      </c>
      <c r="H26" s="15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"/>
      <c r="B27" s="32"/>
      <c r="C27" s="33"/>
      <c r="D27" s="33"/>
      <c r="E27" s="33"/>
      <c r="F27" s="33"/>
      <c r="G27" s="34"/>
      <c r="H27" s="15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"/>
      <c r="B28" s="18"/>
      <c r="C28" s="19"/>
      <c r="D28" s="19"/>
      <c r="E28" s="19" t="s">
        <v>8</v>
      </c>
      <c r="F28" s="36">
        <f>SUM(F12:F26)</f>
        <v>3.6590229455281764</v>
      </c>
      <c r="G28" s="37">
        <f>SUM(G12:G26)</f>
        <v>5.831303678546457</v>
      </c>
      <c r="H28" s="15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5"/>
      <c r="B29" s="24"/>
      <c r="C29" s="25"/>
      <c r="D29" s="25"/>
      <c r="E29" s="25"/>
      <c r="F29" s="25"/>
      <c r="G29" s="26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7"/>
      <c r="B30" s="16"/>
      <c r="C30" s="16"/>
      <c r="D30" s="16"/>
      <c r="E30" s="16"/>
      <c r="F30" s="16"/>
      <c r="G30" s="16"/>
      <c r="H30" s="12"/>
      <c r="I30" s="1"/>
      <c r="J30" s="1"/>
      <c r="K30" s="1"/>
      <c r="L30" s="1"/>
      <c r="M30" s="1"/>
      <c r="N30" s="1"/>
      <c r="O30" s="1"/>
      <c r="P30" s="1"/>
      <c r="Q30" s="1"/>
    </row>
    <row r="31" spans="2:17" ht="15.75">
      <c r="B31" s="18" t="s">
        <v>2</v>
      </c>
      <c r="C31" s="19" t="s">
        <v>3</v>
      </c>
      <c r="D31" s="19" t="s">
        <v>4</v>
      </c>
      <c r="E31" s="19" t="s">
        <v>5</v>
      </c>
      <c r="F31" s="19" t="s">
        <v>6</v>
      </c>
      <c r="G31" s="21" t="s">
        <v>7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.75">
      <c r="B32" s="35">
        <v>1</v>
      </c>
      <c r="C32" s="36">
        <f>$C$9</f>
        <v>0.9801980198019802</v>
      </c>
      <c r="D32" s="36">
        <f>SQRT(1+(((2*B32*$C$3)/(2*$C$2))*((2*B32*$C$3)/(2*$C$2))))</f>
        <v>1.0540925533894598</v>
      </c>
      <c r="E32" s="36">
        <f>SQRT(1+(((B32*$C$3)/(2*$C$2))*((B32*$C$3)/(2*$C$2))))</f>
        <v>1.0137937550497031</v>
      </c>
      <c r="F32" s="36">
        <f aca="true" t="shared" si="5" ref="F32:F46">C32/D32</f>
        <v>0.9298974901683253</v>
      </c>
      <c r="G32" s="37">
        <f aca="true" t="shared" si="6" ref="G32:G46">C32/E32</f>
        <v>0.9668613708849727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5.75">
      <c r="B33" s="35">
        <v>2</v>
      </c>
      <c r="C33" s="36">
        <f>$C$9*$C$9</f>
        <v>0.9607881580237231</v>
      </c>
      <c r="D33" s="36">
        <f aca="true" t="shared" si="7" ref="D33:D46">SQRT(1+(((2*B33*$C$3)/(2*$C$2))*((2*B33*$C$3)/(2*$C$2))))</f>
        <v>1.2018504251546631</v>
      </c>
      <c r="E33" s="36">
        <f aca="true" t="shared" si="8" ref="E33:E46">SQRT(1+(((B33*$C$3)/(2*$C$2))*((B33*$C$3)/(2*$C$2))))</f>
        <v>1.0540925533894598</v>
      </c>
      <c r="F33" s="36">
        <f t="shared" si="5"/>
        <v>0.7994240696799535</v>
      </c>
      <c r="G33" s="37">
        <f t="shared" si="6"/>
        <v>0.9114836784818238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5.75">
      <c r="B34" s="35">
        <v>3</v>
      </c>
      <c r="C34" s="36">
        <f>$C$9*$C$9*$C$9</f>
        <v>0.9417626499440453</v>
      </c>
      <c r="D34" s="36">
        <f t="shared" si="7"/>
        <v>1.4142135623730951</v>
      </c>
      <c r="E34" s="36">
        <f t="shared" si="8"/>
        <v>1.118033988749895</v>
      </c>
      <c r="F34" s="36">
        <f t="shared" si="5"/>
        <v>0.6659267560436472</v>
      </c>
      <c r="G34" s="37">
        <f t="shared" si="6"/>
        <v>0.8423381215780895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.75">
      <c r="B35" s="35">
        <v>4</v>
      </c>
      <c r="C35" s="36">
        <f>$C$9*$C$9*$C$9*$C$9</f>
        <v>0.9231138845986187</v>
      </c>
      <c r="D35" s="36">
        <f t="shared" si="7"/>
        <v>1.6666666666666667</v>
      </c>
      <c r="E35" s="36">
        <f t="shared" si="8"/>
        <v>1.2018504251546631</v>
      </c>
      <c r="F35" s="36">
        <f t="shared" si="5"/>
        <v>0.5538683307591712</v>
      </c>
      <c r="G35" s="37">
        <f t="shared" si="6"/>
        <v>0.7680771793876309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>
      <c r="B36" s="35">
        <v>5</v>
      </c>
      <c r="C36" s="36">
        <f>$C$9*$C$9*$C$9*$C$9*$C$9</f>
        <v>0.9048344017352796</v>
      </c>
      <c r="D36" s="36">
        <f t="shared" si="7"/>
        <v>1.9436506316151003</v>
      </c>
      <c r="E36" s="36">
        <f t="shared" si="8"/>
        <v>1.3017082793177759</v>
      </c>
      <c r="F36" s="36">
        <f t="shared" si="5"/>
        <v>0.4655334590576067</v>
      </c>
      <c r="G36" s="37">
        <f t="shared" si="6"/>
        <v>0.6951130419248025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.75">
      <c r="B37" s="35">
        <v>6</v>
      </c>
      <c r="C37" s="36">
        <f>C34*C34</f>
        <v>0.8869168888296305</v>
      </c>
      <c r="D37" s="36">
        <f t="shared" si="7"/>
        <v>2.23606797749979</v>
      </c>
      <c r="E37" s="36">
        <f t="shared" si="8"/>
        <v>1.4142135623730951</v>
      </c>
      <c r="F37" s="36">
        <f t="shared" si="5"/>
        <v>0.39664129076313553</v>
      </c>
      <c r="G37" s="37">
        <f t="shared" si="6"/>
        <v>0.6271449464403069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.75">
      <c r="B38" s="35">
        <v>7</v>
      </c>
      <c r="C38" s="36">
        <f>C36*C33</f>
        <v>0.8693541781597368</v>
      </c>
      <c r="D38" s="36">
        <f t="shared" si="7"/>
        <v>2.5385910352879697</v>
      </c>
      <c r="E38" s="36">
        <f t="shared" si="8"/>
        <v>1.5365907428821481</v>
      </c>
      <c r="F38" s="36">
        <f t="shared" si="5"/>
        <v>0.34245538807755227</v>
      </c>
      <c r="G38" s="37">
        <f t="shared" si="6"/>
        <v>0.5657681996242597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.75">
      <c r="B39" s="35">
        <v>8</v>
      </c>
      <c r="C39" s="36">
        <f>C35*C35</f>
        <v>0.8521392439387518</v>
      </c>
      <c r="D39" s="36">
        <f t="shared" si="7"/>
        <v>2.848001248439177</v>
      </c>
      <c r="E39" s="36">
        <f t="shared" si="8"/>
        <v>1.6666666666666667</v>
      </c>
      <c r="F39" s="36">
        <f t="shared" si="5"/>
        <v>0.2992060640443046</v>
      </c>
      <c r="G39" s="37">
        <f t="shared" si="6"/>
        <v>0.5112835463632511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5.75">
      <c r="B40" s="35">
        <v>9</v>
      </c>
      <c r="C40" s="36">
        <f>C38*C33</f>
        <v>0.8352651995043211</v>
      </c>
      <c r="D40" s="36">
        <f t="shared" si="7"/>
        <v>3.1622776601683795</v>
      </c>
      <c r="E40" s="36">
        <f t="shared" si="8"/>
        <v>1.8027756377319946</v>
      </c>
      <c r="F40" s="36">
        <f t="shared" si="5"/>
        <v>0.2641340480708599</v>
      </c>
      <c r="G40" s="37">
        <f t="shared" si="6"/>
        <v>0.46332177006515207</v>
      </c>
      <c r="H40" s="1"/>
      <c r="N40" s="1"/>
      <c r="P40" s="1"/>
      <c r="Q40" s="1"/>
    </row>
    <row r="41" spans="2:17" ht="15.75">
      <c r="B41" s="35">
        <v>10</v>
      </c>
      <c r="C41" s="36">
        <f>C36*C36</f>
        <v>0.8187252945636414</v>
      </c>
      <c r="D41" s="36">
        <f t="shared" si="7"/>
        <v>3.4801021696368504</v>
      </c>
      <c r="E41" s="36">
        <f t="shared" si="8"/>
        <v>1.9436506316151003</v>
      </c>
      <c r="F41" s="36">
        <f t="shared" si="5"/>
        <v>0.23525898225254566</v>
      </c>
      <c r="G41" s="37">
        <f t="shared" si="6"/>
        <v>0.42123068891414484</v>
      </c>
      <c r="H41" s="1"/>
      <c r="N41" s="1"/>
      <c r="P41" s="1"/>
      <c r="Q41" s="1"/>
    </row>
    <row r="42" spans="2:17" ht="15.75">
      <c r="B42" s="35">
        <v>11</v>
      </c>
      <c r="C42" s="36">
        <f>$C$9^B42</f>
        <v>0.8025129124930742</v>
      </c>
      <c r="D42" s="36">
        <f t="shared" si="7"/>
        <v>3.8005847503304597</v>
      </c>
      <c r="E42" s="36">
        <f t="shared" si="8"/>
        <v>2.088327347690278</v>
      </c>
      <c r="F42" s="36">
        <f t="shared" si="5"/>
        <v>0.2111551156498473</v>
      </c>
      <c r="G42" s="37">
        <f t="shared" si="6"/>
        <v>0.38428501804598103</v>
      </c>
      <c r="H42" s="1"/>
      <c r="N42" s="1"/>
      <c r="P42" s="1"/>
      <c r="Q42" s="1"/>
    </row>
    <row r="43" spans="2:17" ht="15.75">
      <c r="B43" s="35">
        <v>12</v>
      </c>
      <c r="C43" s="36">
        <f>$C$9^B43</f>
        <v>0.7866215676912311</v>
      </c>
      <c r="D43" s="36">
        <f t="shared" si="7"/>
        <v>4.123105625617661</v>
      </c>
      <c r="E43" s="36">
        <f t="shared" si="8"/>
        <v>2.23606797749979</v>
      </c>
      <c r="F43" s="36">
        <f t="shared" si="5"/>
        <v>0.19078375358705285</v>
      </c>
      <c r="G43" s="37">
        <f t="shared" si="6"/>
        <v>0.351787859585009</v>
      </c>
      <c r="H43" s="1"/>
      <c r="P43" s="1"/>
      <c r="Q43" s="1"/>
    </row>
    <row r="44" spans="2:17" ht="15.75">
      <c r="B44" s="35">
        <v>13</v>
      </c>
      <c r="C44" s="36">
        <f>$C$9^B44</f>
        <v>0.771044902984474</v>
      </c>
      <c r="D44" s="36">
        <f t="shared" si="7"/>
        <v>4.447221354708778</v>
      </c>
      <c r="E44" s="36">
        <f t="shared" si="8"/>
        <v>2.3863035105460586</v>
      </c>
      <c r="F44" s="36">
        <f t="shared" si="5"/>
        <v>0.17337677652768088</v>
      </c>
      <c r="G44" s="37">
        <f t="shared" si="6"/>
        <v>0.3231126717858432</v>
      </c>
      <c r="H44" s="1"/>
      <c r="P44" s="1"/>
      <c r="Q44" s="1"/>
    </row>
    <row r="45" spans="2:17" ht="15.75">
      <c r="B45" s="35">
        <v>14</v>
      </c>
      <c r="C45" s="36">
        <f>$C$9^B45</f>
        <v>0.7557766870837913</v>
      </c>
      <c r="D45" s="36">
        <f t="shared" si="7"/>
        <v>4.772607021092118</v>
      </c>
      <c r="E45" s="36">
        <f t="shared" si="8"/>
        <v>2.5385910352879697</v>
      </c>
      <c r="F45" s="36">
        <f t="shared" si="5"/>
        <v>0.15835720052870528</v>
      </c>
      <c r="G45" s="37">
        <f t="shared" si="6"/>
        <v>0.29771502245853415</v>
      </c>
      <c r="H45" s="1"/>
      <c r="P45" s="1"/>
      <c r="Q45" s="1"/>
    </row>
    <row r="46" spans="2:17" ht="15.75">
      <c r="B46" s="35">
        <v>15</v>
      </c>
      <c r="C46" s="36">
        <f>$C$9^B46</f>
        <v>0.7408108120920331</v>
      </c>
      <c r="D46" s="36">
        <f t="shared" si="7"/>
        <v>5.0990195135927845</v>
      </c>
      <c r="E46" s="36">
        <f t="shared" si="8"/>
        <v>2.692582403567252</v>
      </c>
      <c r="F46" s="36">
        <f t="shared" si="5"/>
        <v>0.14528495333606903</v>
      </c>
      <c r="G46" s="37">
        <f t="shared" si="6"/>
        <v>0.27513022855329305</v>
      </c>
      <c r="H46" s="1"/>
      <c r="P46" s="1"/>
      <c r="Q46" s="1"/>
    </row>
    <row r="47" spans="2:17" ht="15.75">
      <c r="B47" s="32"/>
      <c r="C47" s="33"/>
      <c r="D47" s="33"/>
      <c r="E47" s="33"/>
      <c r="F47" s="33"/>
      <c r="G47" s="34"/>
      <c r="H47" s="1"/>
      <c r="P47" s="1"/>
      <c r="Q47" s="1"/>
    </row>
    <row r="48" spans="2:17" ht="15.75">
      <c r="B48" s="18"/>
      <c r="C48" s="19"/>
      <c r="D48" s="19"/>
      <c r="E48" s="19" t="s">
        <v>8</v>
      </c>
      <c r="F48" s="36">
        <f>SUM(F32:F46)</f>
        <v>5.831303678546457</v>
      </c>
      <c r="G48" s="37">
        <f>SUM(G32:G46)</f>
        <v>8.404653344093093</v>
      </c>
      <c r="H48" s="1"/>
      <c r="P48" s="1"/>
      <c r="Q48" s="1"/>
    </row>
    <row r="49" spans="2:17" ht="15.75">
      <c r="B49" s="1"/>
      <c r="C49" s="1"/>
      <c r="D49" s="1"/>
      <c r="E49" s="1"/>
      <c r="F49" s="1"/>
      <c r="G49" s="1"/>
      <c r="H49" s="1"/>
      <c r="P49" s="1"/>
      <c r="Q49" s="1"/>
    </row>
    <row r="50" spans="2:17" ht="15.75">
      <c r="B50" s="18" t="s">
        <v>2</v>
      </c>
      <c r="C50" s="19" t="s">
        <v>3</v>
      </c>
      <c r="D50" s="19" t="s">
        <v>4</v>
      </c>
      <c r="E50" s="19" t="s">
        <v>5</v>
      </c>
      <c r="F50" s="19" t="s">
        <v>6</v>
      </c>
      <c r="G50" s="21" t="s">
        <v>7</v>
      </c>
      <c r="H50" s="1"/>
      <c r="I50" s="1"/>
      <c r="J50" s="1"/>
      <c r="K50" s="1"/>
      <c r="L50" s="1"/>
      <c r="M50" s="1"/>
      <c r="O50" s="1"/>
      <c r="P50" s="1"/>
      <c r="Q50" s="1"/>
    </row>
    <row r="51" spans="2:17" ht="15.75">
      <c r="B51" s="35">
        <v>1</v>
      </c>
      <c r="C51" s="36">
        <f>$C$9</f>
        <v>0.9801980198019802</v>
      </c>
      <c r="D51" s="36">
        <f>SQRT(1+(((2*B51*$C$3)/(3*$C$2))*((2*B51*$C$3)/(3*$C$2))))</f>
        <v>1.0243938285880987</v>
      </c>
      <c r="E51" s="36">
        <f>SQRT(1+(((B51*$C$3)/(3*$C$2))*((B51*$C$3)/(3*$C$2))))</f>
        <v>1.0061539042374907</v>
      </c>
      <c r="F51" s="36">
        <f aca="true" t="shared" si="9" ref="F51:F65">C51/D51</f>
        <v>0.9568566233486269</v>
      </c>
      <c r="G51" s="37">
        <f aca="true" t="shared" si="10" ref="G51:G65">C51/E51</f>
        <v>0.9742028686404779</v>
      </c>
      <c r="H51" s="1"/>
      <c r="I51" s="1"/>
      <c r="J51" s="1"/>
      <c r="K51" s="1"/>
      <c r="L51" s="1"/>
      <c r="M51" s="1"/>
      <c r="O51" s="1"/>
      <c r="P51" s="1"/>
      <c r="Q51" s="1"/>
    </row>
    <row r="52" spans="2:17" ht="15.75">
      <c r="B52" s="35">
        <v>2</v>
      </c>
      <c r="C52" s="36">
        <f>$C$9*$C$9</f>
        <v>0.9607881580237231</v>
      </c>
      <c r="D52" s="36">
        <f aca="true" t="shared" si="11" ref="D52:D65">SQRT(1+(((2*B52*$C$3)/(3*$C$2))*((2*B52*$C$3)/(3*$C$2))))</f>
        <v>1.0943175335329005</v>
      </c>
      <c r="E52" s="36">
        <f aca="true" t="shared" si="12" ref="E52:E65">SQRT(1+(((B52*$C$3)/(3*$C$2))*((B52*$C$3)/(3*$C$2))))</f>
        <v>1.0243938285880987</v>
      </c>
      <c r="F52" s="36">
        <f t="shared" si="9"/>
        <v>0.8779793145796627</v>
      </c>
      <c r="G52" s="37">
        <f t="shared" si="10"/>
        <v>0.9379089674407332</v>
      </c>
      <c r="H52" s="1"/>
      <c r="I52" s="1"/>
      <c r="J52" s="1"/>
      <c r="K52" s="1"/>
      <c r="L52" s="1"/>
      <c r="M52" s="1"/>
      <c r="O52" s="1"/>
      <c r="P52" s="1"/>
      <c r="Q52" s="1"/>
    </row>
    <row r="53" spans="2:17" ht="15.75">
      <c r="B53" s="35">
        <v>3</v>
      </c>
      <c r="C53" s="36">
        <f>$C$9*$C$9*$C$9</f>
        <v>0.9417626499440453</v>
      </c>
      <c r="D53" s="36">
        <f t="shared" si="11"/>
        <v>1.2018504251546631</v>
      </c>
      <c r="E53" s="36">
        <f t="shared" si="12"/>
        <v>1.0540925533894598</v>
      </c>
      <c r="F53" s="36">
        <f t="shared" si="9"/>
        <v>0.7835938900823306</v>
      </c>
      <c r="G53" s="37">
        <f t="shared" si="10"/>
        <v>0.8934344967297084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5.75">
      <c r="B54" s="35">
        <v>4</v>
      </c>
      <c r="C54" s="36">
        <f>$C$9*$C$9*$C$9*$C$9</f>
        <v>0.9231138845986187</v>
      </c>
      <c r="D54" s="36">
        <f t="shared" si="11"/>
        <v>1.337954953199144</v>
      </c>
      <c r="E54" s="36">
        <f t="shared" si="12"/>
        <v>1.0943175335329005</v>
      </c>
      <c r="F54" s="36">
        <f t="shared" si="9"/>
        <v>0.68994391955528</v>
      </c>
      <c r="G54" s="37">
        <f t="shared" si="10"/>
        <v>0.843552128437925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.75">
      <c r="B55" s="35">
        <v>5</v>
      </c>
      <c r="C55" s="36">
        <f>$C$9*$C$9*$C$9*$C$9*$C$9</f>
        <v>0.9048344017352796</v>
      </c>
      <c r="D55" s="36">
        <f t="shared" si="11"/>
        <v>1.4948471163415233</v>
      </c>
      <c r="E55" s="36">
        <f t="shared" si="12"/>
        <v>1.1439589045541112</v>
      </c>
      <c r="F55" s="36">
        <f t="shared" si="9"/>
        <v>0.6053023027196012</v>
      </c>
      <c r="G55" s="37">
        <f t="shared" si="10"/>
        <v>0.7909675759619732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>
      <c r="B56" s="35">
        <v>6</v>
      </c>
      <c r="C56" s="36">
        <f>C53*C53</f>
        <v>0.8869168888296305</v>
      </c>
      <c r="D56" s="36">
        <f t="shared" si="11"/>
        <v>1.6666666666666667</v>
      </c>
      <c r="E56" s="36">
        <f t="shared" si="12"/>
        <v>1.2018504251546631</v>
      </c>
      <c r="F56" s="36">
        <f t="shared" si="9"/>
        <v>0.5321501332977783</v>
      </c>
      <c r="G56" s="37">
        <f t="shared" si="10"/>
        <v>0.7379594584038986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5.75">
      <c r="B57" s="35">
        <v>7</v>
      </c>
      <c r="C57" s="36">
        <f>C55*C52</f>
        <v>0.8693541781597368</v>
      </c>
      <c r="D57" s="36">
        <f t="shared" si="11"/>
        <v>1.8492574418992487</v>
      </c>
      <c r="E57" s="36">
        <f t="shared" si="12"/>
        <v>1.2668615834434866</v>
      </c>
      <c r="F57" s="36">
        <f t="shared" si="9"/>
        <v>0.4701098713799855</v>
      </c>
      <c r="G57" s="37">
        <f t="shared" si="10"/>
        <v>0.6862266482157621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.75">
      <c r="B58" s="35">
        <v>8</v>
      </c>
      <c r="C58" s="36">
        <f>C54*C54</f>
        <v>0.8521392439387518</v>
      </c>
      <c r="D58" s="36">
        <f t="shared" si="11"/>
        <v>2.0397288611873132</v>
      </c>
      <c r="E58" s="36">
        <f t="shared" si="12"/>
        <v>1.337954953199144</v>
      </c>
      <c r="F58" s="36">
        <f t="shared" si="9"/>
        <v>0.41777084207296405</v>
      </c>
      <c r="G58" s="37">
        <f t="shared" si="10"/>
        <v>0.6368968117358714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5.75">
      <c r="B59" s="35">
        <v>9</v>
      </c>
      <c r="C59" s="36">
        <f>C57*C52</f>
        <v>0.8352651995043211</v>
      </c>
      <c r="D59" s="36">
        <f t="shared" si="11"/>
        <v>2.23606797749979</v>
      </c>
      <c r="E59" s="36">
        <f t="shared" si="12"/>
        <v>1.4142135623730951</v>
      </c>
      <c r="F59" s="36">
        <f t="shared" si="9"/>
        <v>0.3735419530663171</v>
      </c>
      <c r="G59" s="37">
        <f t="shared" si="10"/>
        <v>0.5906216866586399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5.75">
      <c r="B60" s="35">
        <v>10</v>
      </c>
      <c r="C60" s="36">
        <f>C55*C55</f>
        <v>0.8187252945636414</v>
      </c>
      <c r="D60" s="36">
        <f t="shared" si="11"/>
        <v>2.436856911051257</v>
      </c>
      <c r="E60" s="36">
        <f t="shared" si="12"/>
        <v>1.4948471163415233</v>
      </c>
      <c r="F60" s="36">
        <f t="shared" si="9"/>
        <v>0.3359759413245337</v>
      </c>
      <c r="G60" s="37">
        <f t="shared" si="10"/>
        <v>0.5476983469502774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5.75">
      <c r="B61" s="35">
        <v>11</v>
      </c>
      <c r="C61" s="36">
        <f>$C$9^B61</f>
        <v>0.8025129124930742</v>
      </c>
      <c r="D61" s="36">
        <f t="shared" si="11"/>
        <v>2.641080960889936</v>
      </c>
      <c r="E61" s="36">
        <f t="shared" si="12"/>
        <v>1.5791856003946552</v>
      </c>
      <c r="F61" s="36">
        <f t="shared" si="9"/>
        <v>0.3038577477847026</v>
      </c>
      <c r="G61" s="37">
        <f t="shared" si="10"/>
        <v>0.5081815033600343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5.75">
      <c r="B62" s="35">
        <v>12</v>
      </c>
      <c r="C62" s="36">
        <f>$C$9^B62</f>
        <v>0.7866215676912311</v>
      </c>
      <c r="D62" s="36">
        <f t="shared" si="11"/>
        <v>2.848001248439177</v>
      </c>
      <c r="E62" s="36">
        <f t="shared" si="12"/>
        <v>1.6666666666666667</v>
      </c>
      <c r="F62" s="36">
        <f t="shared" si="9"/>
        <v>0.2762012720754011</v>
      </c>
      <c r="G62" s="37">
        <f t="shared" si="10"/>
        <v>0.47197294061473866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>
      <c r="B63" s="35">
        <v>13</v>
      </c>
      <c r="C63" s="36">
        <f>$C$9^B63</f>
        <v>0.771044902984474</v>
      </c>
      <c r="D63" s="36">
        <f t="shared" si="11"/>
        <v>3.0570703315994674</v>
      </c>
      <c r="E63" s="36">
        <f t="shared" si="12"/>
        <v>1.7568209223157663</v>
      </c>
      <c r="F63" s="36">
        <f t="shared" si="9"/>
        <v>0.25221693299449255</v>
      </c>
      <c r="G63" s="37">
        <f t="shared" si="10"/>
        <v>0.43888645290500955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5.75">
      <c r="B64" s="35">
        <v>14</v>
      </c>
      <c r="C64" s="36">
        <f>$C$9^B64</f>
        <v>0.7557766870837913</v>
      </c>
      <c r="D64" s="36">
        <f t="shared" si="11"/>
        <v>3.2678758155228316</v>
      </c>
      <c r="E64" s="36">
        <f t="shared" si="12"/>
        <v>1.8492574418992487</v>
      </c>
      <c r="F64" s="36">
        <f t="shared" si="9"/>
        <v>0.23127460458985455</v>
      </c>
      <c r="G64" s="37">
        <f t="shared" si="10"/>
        <v>0.4086919808783268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5.75">
      <c r="B65" s="35">
        <v>15</v>
      </c>
      <c r="C65" s="36">
        <f>$C$9^B65</f>
        <v>0.7408108120920331</v>
      </c>
      <c r="D65" s="36">
        <f t="shared" si="11"/>
        <v>3.4801021696368504</v>
      </c>
      <c r="E65" s="36">
        <f t="shared" si="12"/>
        <v>1.9436506316151003</v>
      </c>
      <c r="F65" s="36">
        <f t="shared" si="9"/>
        <v>0.21287042045933294</v>
      </c>
      <c r="G65" s="37">
        <f t="shared" si="10"/>
        <v>0.38114401839616996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5.75">
      <c r="B66" s="32"/>
      <c r="C66" s="33"/>
      <c r="D66" s="33"/>
      <c r="E66" s="33"/>
      <c r="F66" s="33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5.75">
      <c r="B67" s="18"/>
      <c r="C67" s="19"/>
      <c r="D67" s="19"/>
      <c r="E67" s="19" t="s">
        <v>8</v>
      </c>
      <c r="F67" s="36">
        <f>SUM(F51:F65)</f>
        <v>7.319645769330864</v>
      </c>
      <c r="G67" s="37">
        <f>SUM(G51:G65)</f>
        <v>9.848345885329548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>
      <c r="B69" s="18" t="s">
        <v>2</v>
      </c>
      <c r="C69" s="19" t="s">
        <v>3</v>
      </c>
      <c r="D69" s="19" t="s">
        <v>4</v>
      </c>
      <c r="E69" s="19" t="s">
        <v>5</v>
      </c>
      <c r="F69" s="19" t="s">
        <v>6</v>
      </c>
      <c r="G69" s="21" t="s">
        <v>7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5.75">
      <c r="B70" s="35">
        <v>1</v>
      </c>
      <c r="C70" s="36">
        <f>$C$9</f>
        <v>0.9801980198019802</v>
      </c>
      <c r="D70" s="36">
        <f>SQRT(1+(((2*B70*$C$3)/(4*$C$2))*((2*B70*$C$3)/(4*$C$2))))</f>
        <v>1.0137937550497031</v>
      </c>
      <c r="E70" s="36">
        <f>SQRT(1+(((B70*$C$3)/(4*$C$2))*((B70*$C$3)/(4*$C$2))))</f>
        <v>1.0034662148993578</v>
      </c>
      <c r="F70" s="36">
        <f aca="true" t="shared" si="13" ref="F70:F84">C70/D70</f>
        <v>0.9668613708849727</v>
      </c>
      <c r="G70" s="37">
        <f aca="true" t="shared" si="14" ref="G70:G84">C70/E70</f>
        <v>0.976812178873694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.75">
      <c r="B71" s="35">
        <v>2</v>
      </c>
      <c r="C71" s="36">
        <f>$C$9*$C$9</f>
        <v>0.9607881580237231</v>
      </c>
      <c r="D71" s="36">
        <f aca="true" t="shared" si="15" ref="D71:D84">SQRT(1+(((2*B71*$C$3)/(4*$C$2))*((2*B71*$C$3)/(4*$C$2))))</f>
        <v>1.0540925533894598</v>
      </c>
      <c r="E71" s="36">
        <f aca="true" t="shared" si="16" ref="E71:E84">SQRT(1+(((B71*$C$3)/(4*$C$2))*((B71*$C$3)/(4*$C$2))))</f>
        <v>1.0137937550497031</v>
      </c>
      <c r="F71" s="36">
        <f t="shared" si="13"/>
        <v>0.9114836784818238</v>
      </c>
      <c r="G71" s="37">
        <f t="shared" si="14"/>
        <v>0.9477156011644781</v>
      </c>
      <c r="I71" s="1"/>
      <c r="J71" s="1"/>
      <c r="K71" s="1"/>
      <c r="L71" s="1"/>
      <c r="M71" s="1"/>
      <c r="N71" s="1"/>
      <c r="O71" s="1"/>
      <c r="P71" s="1"/>
      <c r="Q71" s="1"/>
    </row>
    <row r="72" spans="2:17" ht="15.75">
      <c r="B72" s="35">
        <v>3</v>
      </c>
      <c r="C72" s="36">
        <f>$C$9*$C$9*$C$9</f>
        <v>0.9417626499440453</v>
      </c>
      <c r="D72" s="36">
        <f t="shared" si="15"/>
        <v>1.118033988749895</v>
      </c>
      <c r="E72" s="36">
        <f t="shared" si="16"/>
        <v>1.0307764064044151</v>
      </c>
      <c r="F72" s="36">
        <f t="shared" si="13"/>
        <v>0.8423381215780895</v>
      </c>
      <c r="G72" s="37">
        <f t="shared" si="14"/>
        <v>0.9136439717602092</v>
      </c>
      <c r="I72" s="1"/>
      <c r="J72" s="1"/>
      <c r="K72" s="1"/>
      <c r="L72" s="1"/>
      <c r="M72" s="1"/>
      <c r="N72" s="1"/>
      <c r="O72" s="1"/>
      <c r="P72" s="1"/>
      <c r="Q72" s="1"/>
    </row>
    <row r="73" spans="2:17" ht="15.75">
      <c r="B73" s="35">
        <v>4</v>
      </c>
      <c r="C73" s="36">
        <f>$C$9*$C$9*$C$9*$C$9</f>
        <v>0.9231138845986187</v>
      </c>
      <c r="D73" s="36">
        <f t="shared" si="15"/>
        <v>1.2018504251546631</v>
      </c>
      <c r="E73" s="36">
        <f t="shared" si="16"/>
        <v>1.0540925533894598</v>
      </c>
      <c r="F73" s="36">
        <f t="shared" si="13"/>
        <v>0.7680771793876309</v>
      </c>
      <c r="G73" s="37">
        <f t="shared" si="14"/>
        <v>0.8757427245172389</v>
      </c>
      <c r="I73" s="1"/>
      <c r="J73" s="1"/>
      <c r="K73" s="1"/>
      <c r="L73" s="1"/>
      <c r="M73" s="1"/>
      <c r="N73" s="1"/>
      <c r="O73" s="1"/>
      <c r="P73" s="1"/>
      <c r="Q73" s="1"/>
    </row>
    <row r="74" spans="2:17" ht="15.75">
      <c r="B74" s="35">
        <v>5</v>
      </c>
      <c r="C74" s="36">
        <f>$C$9*$C$9*$C$9*$C$9*$C$9</f>
        <v>0.9048344017352796</v>
      </c>
      <c r="D74" s="36">
        <f t="shared" si="15"/>
        <v>1.3017082793177759</v>
      </c>
      <c r="E74" s="36">
        <f t="shared" si="16"/>
        <v>1.0833333333333333</v>
      </c>
      <c r="F74" s="36">
        <f t="shared" si="13"/>
        <v>0.6951130419248025</v>
      </c>
      <c r="G74" s="37">
        <f t="shared" si="14"/>
        <v>0.8352317554479505</v>
      </c>
      <c r="I74" s="1"/>
      <c r="J74" s="1"/>
      <c r="K74" s="1"/>
      <c r="L74" s="1"/>
      <c r="M74" s="1"/>
      <c r="N74" s="1"/>
      <c r="O74" s="1"/>
      <c r="P74" s="1"/>
      <c r="Q74" s="1"/>
    </row>
    <row r="75" spans="2:14" ht="15.75">
      <c r="B75" s="35">
        <v>6</v>
      </c>
      <c r="C75" s="36">
        <f>C72*C72</f>
        <v>0.8869168888296305</v>
      </c>
      <c r="D75" s="36">
        <f t="shared" si="15"/>
        <v>1.4142135623730951</v>
      </c>
      <c r="E75" s="36">
        <f t="shared" si="16"/>
        <v>1.118033988749895</v>
      </c>
      <c r="F75" s="36">
        <f t="shared" si="13"/>
        <v>0.6271449464403069</v>
      </c>
      <c r="G75" s="37">
        <f t="shared" si="14"/>
        <v>0.7932825815262711</v>
      </c>
      <c r="N75" s="1"/>
    </row>
    <row r="76" spans="2:14" ht="15.75">
      <c r="B76" s="35">
        <v>7</v>
      </c>
      <c r="C76" s="36">
        <f>C74*C71</f>
        <v>0.8693541781597368</v>
      </c>
      <c r="D76" s="36">
        <f t="shared" si="15"/>
        <v>1.5365907428821481</v>
      </c>
      <c r="E76" s="36">
        <f t="shared" si="16"/>
        <v>1.1577036657874837</v>
      </c>
      <c r="F76" s="36">
        <f t="shared" si="13"/>
        <v>0.5657681996242597</v>
      </c>
      <c r="G76" s="37">
        <f t="shared" si="14"/>
        <v>0.7509297965022783</v>
      </c>
      <c r="N76" s="1"/>
    </row>
    <row r="77" spans="2:14" ht="15.75">
      <c r="B77" s="35">
        <v>8</v>
      </c>
      <c r="C77" s="36">
        <f>C73*C73</f>
        <v>0.8521392439387518</v>
      </c>
      <c r="D77" s="36">
        <f t="shared" si="15"/>
        <v>1.6666666666666667</v>
      </c>
      <c r="E77" s="36">
        <f t="shared" si="16"/>
        <v>1.2018504251546631</v>
      </c>
      <c r="F77" s="36">
        <f t="shared" si="13"/>
        <v>0.5112835463632511</v>
      </c>
      <c r="G77" s="37">
        <f t="shared" si="14"/>
        <v>0.709022708736066</v>
      </c>
      <c r="N77" s="1"/>
    </row>
    <row r="78" spans="2:7" ht="13.5">
      <c r="B78" s="35">
        <v>9</v>
      </c>
      <c r="C78" s="36">
        <f>C76*C71</f>
        <v>0.8352651995043211</v>
      </c>
      <c r="D78" s="36">
        <f t="shared" si="15"/>
        <v>1.8027756377319946</v>
      </c>
      <c r="E78" s="36">
        <f t="shared" si="16"/>
        <v>1.25</v>
      </c>
      <c r="F78" s="36">
        <f t="shared" si="13"/>
        <v>0.46332177006515207</v>
      </c>
      <c r="G78" s="37">
        <f t="shared" si="14"/>
        <v>0.6682121596034569</v>
      </c>
    </row>
    <row r="79" spans="2:7" ht="13.5">
      <c r="B79" s="35">
        <v>10</v>
      </c>
      <c r="C79" s="36">
        <f>C74*C74</f>
        <v>0.8187252945636414</v>
      </c>
      <c r="D79" s="36">
        <f t="shared" si="15"/>
        <v>1.9436506316151003</v>
      </c>
      <c r="E79" s="36">
        <f t="shared" si="16"/>
        <v>1.3017082793177759</v>
      </c>
      <c r="F79" s="36">
        <f t="shared" si="13"/>
        <v>0.42123068891414484</v>
      </c>
      <c r="G79" s="37">
        <f t="shared" si="14"/>
        <v>0.628962193428419</v>
      </c>
    </row>
    <row r="80" spans="2:7" ht="13.5">
      <c r="B80" s="35">
        <v>11</v>
      </c>
      <c r="C80" s="36">
        <f>$C$9^B80</f>
        <v>0.8025129124930742</v>
      </c>
      <c r="D80" s="36">
        <f t="shared" si="15"/>
        <v>2.088327347690278</v>
      </c>
      <c r="E80" s="36">
        <f t="shared" si="16"/>
        <v>1.3565683830083088</v>
      </c>
      <c r="F80" s="36">
        <f t="shared" si="13"/>
        <v>0.38428501804598103</v>
      </c>
      <c r="G80" s="37">
        <f t="shared" si="14"/>
        <v>0.591575716008825</v>
      </c>
    </row>
    <row r="81" spans="2:7" ht="13.5">
      <c r="B81" s="35">
        <v>12</v>
      </c>
      <c r="C81" s="36">
        <f>$C$9^B81</f>
        <v>0.7866215676912311</v>
      </c>
      <c r="D81" s="36">
        <f t="shared" si="15"/>
        <v>2.23606797749979</v>
      </c>
      <c r="E81" s="36">
        <f t="shared" si="16"/>
        <v>1.4142135623730951</v>
      </c>
      <c r="F81" s="36">
        <f t="shared" si="13"/>
        <v>0.351787859585009</v>
      </c>
      <c r="G81" s="37">
        <f t="shared" si="14"/>
        <v>0.5562254447420624</v>
      </c>
    </row>
    <row r="82" spans="2:7" ht="13.5">
      <c r="B82" s="35">
        <v>13</v>
      </c>
      <c r="C82" s="36">
        <f>$C$9^B82</f>
        <v>0.771044902984474</v>
      </c>
      <c r="D82" s="36">
        <f t="shared" si="15"/>
        <v>2.3863035105460586</v>
      </c>
      <c r="E82" s="36">
        <f t="shared" si="16"/>
        <v>1.4743171677461775</v>
      </c>
      <c r="F82" s="36">
        <f t="shared" si="13"/>
        <v>0.3231126717858432</v>
      </c>
      <c r="G82" s="37">
        <f t="shared" si="14"/>
        <v>0.5229844160081158</v>
      </c>
    </row>
    <row r="83" spans="2:7" ht="13.5">
      <c r="B83" s="35">
        <v>14</v>
      </c>
      <c r="C83" s="36">
        <f>$C$9^B83</f>
        <v>0.7557766870837913</v>
      </c>
      <c r="D83" s="36">
        <f t="shared" si="15"/>
        <v>2.5385910352879697</v>
      </c>
      <c r="E83" s="36">
        <f t="shared" si="16"/>
        <v>1.5365907428821481</v>
      </c>
      <c r="F83" s="36">
        <f t="shared" si="13"/>
        <v>0.29771502245853415</v>
      </c>
      <c r="G83" s="37">
        <f t="shared" si="14"/>
        <v>0.4918529482132622</v>
      </c>
    </row>
    <row r="84" spans="2:7" ht="13.5">
      <c r="B84" s="35">
        <v>15</v>
      </c>
      <c r="C84" s="36">
        <f>$C$9^B84</f>
        <v>0.7408108120920331</v>
      </c>
      <c r="D84" s="36">
        <f t="shared" si="15"/>
        <v>2.692582403567252</v>
      </c>
      <c r="E84" s="36">
        <f t="shared" si="16"/>
        <v>1.6007810593582121</v>
      </c>
      <c r="F84" s="36">
        <f t="shared" si="13"/>
        <v>0.27513022855329305</v>
      </c>
      <c r="G84" s="37">
        <f t="shared" si="14"/>
        <v>0.4627808454886643</v>
      </c>
    </row>
    <row r="85" spans="2:7" ht="13.5">
      <c r="B85" s="32"/>
      <c r="C85" s="33"/>
      <c r="D85" s="33"/>
      <c r="E85" s="33"/>
      <c r="F85" s="33"/>
      <c r="G85" s="34"/>
    </row>
    <row r="86" spans="2:7" ht="13.5">
      <c r="B86" s="18"/>
      <c r="C86" s="19"/>
      <c r="D86" s="19"/>
      <c r="E86" s="19" t="s">
        <v>8</v>
      </c>
      <c r="F86" s="36">
        <f>SUM(F70:F84)</f>
        <v>8.404653344093093</v>
      </c>
      <c r="G86" s="37">
        <f>SUM(G70:G84)</f>
        <v>10.724975042020993</v>
      </c>
    </row>
    <row r="88" spans="2:7" ht="13.5">
      <c r="B88" s="18" t="s">
        <v>2</v>
      </c>
      <c r="C88" s="19" t="s">
        <v>3</v>
      </c>
      <c r="D88" s="19" t="s">
        <v>4</v>
      </c>
      <c r="E88" s="19" t="s">
        <v>5</v>
      </c>
      <c r="F88" s="19" t="s">
        <v>6</v>
      </c>
      <c r="G88" s="21" t="s">
        <v>7</v>
      </c>
    </row>
    <row r="89" spans="2:7" ht="13.5">
      <c r="B89" s="35">
        <v>1</v>
      </c>
      <c r="C89" s="36">
        <f>$C$9</f>
        <v>0.9801980198019802</v>
      </c>
      <c r="D89" s="36">
        <f>SQRT(1+(((2*B89*$C$3)/(5*$C$2))*((2*B89*$C$3)/(5*$C$2))))</f>
        <v>1.0088497300281036</v>
      </c>
      <c r="E89" s="36">
        <f>SQRT(1+(((B89*$C$3)/(5*$C$2))*((B89*$C$3)/(5*$C$2))))</f>
        <v>1.002219758558194</v>
      </c>
      <c r="F89" s="36">
        <f aca="true" t="shared" si="17" ref="F89:F103">C89/D89</f>
        <v>0.9715996254215925</v>
      </c>
      <c r="G89" s="37">
        <f aca="true" t="shared" si="18" ref="G89:G103">C89/E89</f>
        <v>0.9780270359188542</v>
      </c>
    </row>
    <row r="90" spans="2:7" ht="13.5">
      <c r="B90" s="35">
        <v>2</v>
      </c>
      <c r="C90" s="36">
        <f>$C$9*$C$9</f>
        <v>0.9607881580237231</v>
      </c>
      <c r="D90" s="36">
        <f aca="true" t="shared" si="19" ref="D90:D103">SQRT(1+(((2*B90*$C$3)/(5*$C$2))*((2*B90*$C$3)/(5*$C$2))))</f>
        <v>1.0349449797506682</v>
      </c>
      <c r="E90" s="36">
        <f aca="true" t="shared" si="20" ref="E90:E103">SQRT(1+(((B90*$C$3)/(5*$C$2))*((B90*$C$3)/(5*$C$2))))</f>
        <v>1.0088497300281036</v>
      </c>
      <c r="F90" s="36">
        <f t="shared" si="17"/>
        <v>0.9283470878376447</v>
      </c>
      <c r="G90" s="37">
        <f t="shared" si="18"/>
        <v>0.9523600288785906</v>
      </c>
    </row>
    <row r="91" spans="2:7" ht="13.5">
      <c r="B91" s="35">
        <v>3</v>
      </c>
      <c r="C91" s="36">
        <f>$C$9*$C$9*$C$9</f>
        <v>0.9417626499440453</v>
      </c>
      <c r="D91" s="36">
        <f t="shared" si="19"/>
        <v>1.077032961426901</v>
      </c>
      <c r="E91" s="36">
        <f t="shared" si="20"/>
        <v>1.019803902718557</v>
      </c>
      <c r="F91" s="36">
        <f t="shared" si="17"/>
        <v>0.87440466881938</v>
      </c>
      <c r="G91" s="37">
        <f t="shared" si="18"/>
        <v>0.9234742556226034</v>
      </c>
    </row>
    <row r="92" spans="2:7" ht="13.5">
      <c r="B92" s="35">
        <v>4</v>
      </c>
      <c r="C92" s="36">
        <f>$C$9*$C$9*$C$9*$C$9</f>
        <v>0.9231138845986187</v>
      </c>
      <c r="D92" s="36">
        <f t="shared" si="19"/>
        <v>1.1333333333333333</v>
      </c>
      <c r="E92" s="36">
        <f t="shared" si="20"/>
        <v>1.0349449797506682</v>
      </c>
      <c r="F92" s="36">
        <f t="shared" si="17"/>
        <v>0.8145122511164282</v>
      </c>
      <c r="G92" s="37">
        <f t="shared" si="18"/>
        <v>0.8919448885302181</v>
      </c>
    </row>
    <row r="93" spans="2:7" ht="13.5">
      <c r="B93" s="35">
        <v>5</v>
      </c>
      <c r="C93" s="36">
        <f>$C$9*$C$9*$C$9*$C$9*$C$9</f>
        <v>0.9048344017352796</v>
      </c>
      <c r="D93" s="36">
        <f t="shared" si="19"/>
        <v>1.2018504251546631</v>
      </c>
      <c r="E93" s="36">
        <f t="shared" si="20"/>
        <v>1.0540925533894598</v>
      </c>
      <c r="F93" s="36">
        <f t="shared" si="17"/>
        <v>0.7528677302908461</v>
      </c>
      <c r="G93" s="37">
        <f t="shared" si="18"/>
        <v>0.8584012844277886</v>
      </c>
    </row>
    <row r="94" spans="2:7" ht="13.5">
      <c r="B94" s="35">
        <v>6</v>
      </c>
      <c r="C94" s="36">
        <f>C91*C91</f>
        <v>0.8869168888296305</v>
      </c>
      <c r="D94" s="36">
        <f t="shared" si="19"/>
        <v>1.2806248474865698</v>
      </c>
      <c r="E94" s="36">
        <f t="shared" si="20"/>
        <v>1.077032961426901</v>
      </c>
      <c r="F94" s="36">
        <f t="shared" si="17"/>
        <v>0.69256573505531</v>
      </c>
      <c r="G94" s="37">
        <f t="shared" si="18"/>
        <v>0.8234816580307847</v>
      </c>
    </row>
    <row r="95" spans="2:7" ht="13.5">
      <c r="B95" s="35">
        <v>7</v>
      </c>
      <c r="C95" s="36">
        <f>C93*C90</f>
        <v>0.8693541781597368</v>
      </c>
      <c r="D95" s="36">
        <f t="shared" si="19"/>
        <v>1.3678856352455462</v>
      </c>
      <c r="E95" s="36">
        <f t="shared" si="20"/>
        <v>1.1035296904831233</v>
      </c>
      <c r="F95" s="36">
        <f t="shared" si="17"/>
        <v>0.6355459519126253</v>
      </c>
      <c r="G95" s="37">
        <f t="shared" si="18"/>
        <v>0.7877940989327936</v>
      </c>
    </row>
    <row r="96" spans="2:7" ht="13.5">
      <c r="B96" s="35">
        <v>8</v>
      </c>
      <c r="C96" s="36">
        <f>C92*C92</f>
        <v>0.8521392439387518</v>
      </c>
      <c r="D96" s="36">
        <f t="shared" si="19"/>
        <v>1.462114146630754</v>
      </c>
      <c r="E96" s="36">
        <f t="shared" si="20"/>
        <v>1.1333333333333333</v>
      </c>
      <c r="F96" s="36">
        <f t="shared" si="17"/>
        <v>0.5828130764635528</v>
      </c>
      <c r="G96" s="37">
        <f t="shared" si="18"/>
        <v>0.7518875681812517</v>
      </c>
    </row>
    <row r="97" spans="2:7" ht="13.5">
      <c r="B97" s="35">
        <v>9</v>
      </c>
      <c r="C97" s="36">
        <f>C95*C90</f>
        <v>0.8352651995043211</v>
      </c>
      <c r="D97" s="36">
        <f t="shared" si="19"/>
        <v>1.5620499351813308</v>
      </c>
      <c r="E97" s="36">
        <f t="shared" si="20"/>
        <v>1.16619037896906</v>
      </c>
      <c r="F97" s="36">
        <f t="shared" si="17"/>
        <v>0.5347237503053058</v>
      </c>
      <c r="G97" s="37">
        <f t="shared" si="18"/>
        <v>0.7162339996688323</v>
      </c>
    </row>
    <row r="98" spans="2:7" ht="13.5">
      <c r="B98" s="35">
        <v>10</v>
      </c>
      <c r="C98" s="36">
        <f>C93*C93</f>
        <v>0.8187252945636414</v>
      </c>
      <c r="D98" s="36">
        <f t="shared" si="19"/>
        <v>1.6666666666666667</v>
      </c>
      <c r="E98" s="36">
        <f t="shared" si="20"/>
        <v>1.2018504251546631</v>
      </c>
      <c r="F98" s="36">
        <f t="shared" si="17"/>
        <v>0.49123517673818484</v>
      </c>
      <c r="G98" s="37">
        <f t="shared" si="18"/>
        <v>0.6812206223235155</v>
      </c>
    </row>
    <row r="99" spans="2:7" ht="13.5">
      <c r="B99" s="35">
        <v>11</v>
      </c>
      <c r="C99" s="36">
        <f>$C$9^B99</f>
        <v>0.8025129124930742</v>
      </c>
      <c r="D99" s="36">
        <f t="shared" si="19"/>
        <v>1.775136927425913</v>
      </c>
      <c r="E99" s="36">
        <f t="shared" si="20"/>
        <v>1.2400716825158848</v>
      </c>
      <c r="F99" s="36">
        <f t="shared" si="17"/>
        <v>0.4520850758576582</v>
      </c>
      <c r="G99" s="37">
        <f t="shared" si="18"/>
        <v>0.6471504218731278</v>
      </c>
    </row>
    <row r="100" spans="2:7" ht="13.5">
      <c r="B100" s="35">
        <v>12</v>
      </c>
      <c r="C100" s="36">
        <f>$C$9^B100</f>
        <v>0.7866215676912311</v>
      </c>
      <c r="D100" s="36">
        <f t="shared" si="19"/>
        <v>1.886796226411321</v>
      </c>
      <c r="E100" s="36">
        <f t="shared" si="20"/>
        <v>1.2806248474865698</v>
      </c>
      <c r="F100" s="36">
        <f t="shared" si="17"/>
        <v>0.41690859705999217</v>
      </c>
      <c r="G100" s="37">
        <f t="shared" si="18"/>
        <v>0.6142482470452617</v>
      </c>
    </row>
    <row r="101" spans="2:7" ht="13.5">
      <c r="B101" s="35">
        <v>13</v>
      </c>
      <c r="C101" s="36">
        <f>$C$9^B101</f>
        <v>0.771044902984474</v>
      </c>
      <c r="D101" s="36">
        <f t="shared" si="19"/>
        <v>2.001110802640485</v>
      </c>
      <c r="E101" s="36">
        <f t="shared" si="20"/>
        <v>1.3232955494186138</v>
      </c>
      <c r="F101" s="36">
        <f t="shared" si="17"/>
        <v>0.38530845067003433</v>
      </c>
      <c r="G101" s="37">
        <f t="shared" si="18"/>
        <v>0.5826702155261011</v>
      </c>
    </row>
    <row r="102" spans="2:7" ht="13.5">
      <c r="B102" s="35">
        <v>14</v>
      </c>
      <c r="C102" s="36">
        <f>$C$9^B102</f>
        <v>0.7557766870837913</v>
      </c>
      <c r="D102" s="36">
        <f t="shared" si="19"/>
        <v>2.117650689902479</v>
      </c>
      <c r="E102" s="36">
        <f t="shared" si="20"/>
        <v>1.3678856352455462</v>
      </c>
      <c r="F102" s="36">
        <f t="shared" si="17"/>
        <v>0.3568939347209317</v>
      </c>
      <c r="G102" s="37">
        <f t="shared" si="18"/>
        <v>0.5525145287077479</v>
      </c>
    </row>
    <row r="103" spans="2:7" ht="13.5">
      <c r="B103" s="35">
        <v>15</v>
      </c>
      <c r="C103" s="36">
        <f>$C$9^B103</f>
        <v>0.7408108120920331</v>
      </c>
      <c r="D103" s="36">
        <f t="shared" si="19"/>
        <v>2.23606797749979</v>
      </c>
      <c r="E103" s="36">
        <f t="shared" si="20"/>
        <v>1.4142135623730951</v>
      </c>
      <c r="F103" s="36">
        <f t="shared" si="17"/>
        <v>0.33130066686092186</v>
      </c>
      <c r="G103" s="37">
        <f t="shared" si="18"/>
        <v>0.5238323488065898</v>
      </c>
    </row>
    <row r="104" spans="2:7" ht="13.5">
      <c r="B104" s="32"/>
      <c r="C104" s="33"/>
      <c r="D104" s="33"/>
      <c r="E104" s="33"/>
      <c r="F104" s="33"/>
      <c r="G104" s="34"/>
    </row>
    <row r="105" spans="2:7" ht="13.5">
      <c r="B105" s="18"/>
      <c r="C105" s="19"/>
      <c r="D105" s="19"/>
      <c r="E105" s="19" t="s">
        <v>8</v>
      </c>
      <c r="F105" s="36">
        <f>SUM(F89:F103)</f>
        <v>9.221111779130409</v>
      </c>
      <c r="G105" s="37">
        <f>SUM(G89:G103)</f>
        <v>11.28524120247406</v>
      </c>
    </row>
    <row r="107" spans="2:7" ht="13.5">
      <c r="B107" s="18" t="s">
        <v>2</v>
      </c>
      <c r="C107" s="19" t="s">
        <v>3</v>
      </c>
      <c r="D107" s="19" t="s">
        <v>4</v>
      </c>
      <c r="E107" s="19" t="s">
        <v>5</v>
      </c>
      <c r="F107" s="19" t="s">
        <v>6</v>
      </c>
      <c r="G107" s="21" t="s">
        <v>7</v>
      </c>
    </row>
    <row r="108" spans="2:7" ht="13.5">
      <c r="B108" s="35">
        <v>1</v>
      </c>
      <c r="C108" s="36">
        <f>$C$9</f>
        <v>0.9801980198019802</v>
      </c>
      <c r="D108" s="36">
        <f>SQRT(1+(((2*B108*$C$3)/(6*$C$2))*((2*B108*$C$3)/(6*$C$2))))</f>
        <v>1.0061539042374907</v>
      </c>
      <c r="E108" s="36">
        <f>SQRT(1+(((B108*$C$3)/(6*$C$2))*((B108*$C$3)/(6*$C$2))))</f>
        <v>1.0015420209622192</v>
      </c>
      <c r="F108" s="36">
        <f aca="true" t="shared" si="21" ref="F108:F122">C108/D108</f>
        <v>0.9742028686404779</v>
      </c>
      <c r="G108" s="37">
        <f aca="true" t="shared" si="22" ref="G108:G122">C108/E108</f>
        <v>0.978688861062731</v>
      </c>
    </row>
    <row r="109" spans="2:7" ht="13.5">
      <c r="B109" s="35">
        <v>2</v>
      </c>
      <c r="C109" s="36">
        <f>$C$9*$C$9</f>
        <v>0.9607881580237231</v>
      </c>
      <c r="D109" s="36">
        <f aca="true" t="shared" si="23" ref="D109:D122">SQRT(1+(((2*B109*$C$3)/(6*$C$2))*((2*B109*$C$3)/(6*$C$2))))</f>
        <v>1.0243938285880987</v>
      </c>
      <c r="E109" s="36">
        <f aca="true" t="shared" si="24" ref="E109:E122">SQRT(1+(((B109*$C$3)/(6*$C$2))*((B109*$C$3)/(6*$C$2))))</f>
        <v>1.0061539042374907</v>
      </c>
      <c r="F109" s="36">
        <f t="shared" si="21"/>
        <v>0.9379089674407332</v>
      </c>
      <c r="G109" s="37">
        <f t="shared" si="22"/>
        <v>0.954911722726805</v>
      </c>
    </row>
    <row r="110" spans="2:7" ht="13.5">
      <c r="B110" s="35">
        <v>3</v>
      </c>
      <c r="C110" s="36">
        <f>$C$9*$C$9*$C$9</f>
        <v>0.9417626499440453</v>
      </c>
      <c r="D110" s="36">
        <f t="shared" si="23"/>
        <v>1.0540925533894598</v>
      </c>
      <c r="E110" s="36">
        <f t="shared" si="24"/>
        <v>1.0137937550497031</v>
      </c>
      <c r="F110" s="36">
        <f t="shared" si="21"/>
        <v>0.8934344967297084</v>
      </c>
      <c r="G110" s="37">
        <f t="shared" si="22"/>
        <v>0.9289489555968646</v>
      </c>
    </row>
    <row r="111" spans="2:7" ht="13.5">
      <c r="B111" s="35">
        <v>4</v>
      </c>
      <c r="C111" s="36">
        <f>$C$9*$C$9*$C$9*$C$9</f>
        <v>0.9231138845986187</v>
      </c>
      <c r="D111" s="36">
        <f t="shared" si="23"/>
        <v>1.0943175335329005</v>
      </c>
      <c r="E111" s="36">
        <f t="shared" si="24"/>
        <v>1.0243938285880987</v>
      </c>
      <c r="F111" s="36">
        <f t="shared" si="21"/>
        <v>0.843552128437925</v>
      </c>
      <c r="G111" s="37">
        <f t="shared" si="22"/>
        <v>0.9011318292213141</v>
      </c>
    </row>
    <row r="112" spans="2:7" ht="13.5">
      <c r="B112" s="35">
        <v>5</v>
      </c>
      <c r="C112" s="36">
        <f>$C$9*$C$9*$C$9*$C$9*$C$9</f>
        <v>0.9048344017352796</v>
      </c>
      <c r="D112" s="36">
        <f t="shared" si="23"/>
        <v>1.1439589045541112</v>
      </c>
      <c r="E112" s="36">
        <f t="shared" si="24"/>
        <v>1.0378634273483003</v>
      </c>
      <c r="F112" s="36">
        <f t="shared" si="21"/>
        <v>0.7909675759619732</v>
      </c>
      <c r="G112" s="37">
        <f t="shared" si="22"/>
        <v>0.8718241513212345</v>
      </c>
    </row>
    <row r="113" spans="2:7" ht="13.5">
      <c r="B113" s="35">
        <v>6</v>
      </c>
      <c r="C113" s="36">
        <f>C110*C110</f>
        <v>0.8869168888296305</v>
      </c>
      <c r="D113" s="36">
        <f t="shared" si="23"/>
        <v>1.2018504251546631</v>
      </c>
      <c r="E113" s="36">
        <f t="shared" si="24"/>
        <v>1.0540925533894598</v>
      </c>
      <c r="F113" s="36">
        <f t="shared" si="21"/>
        <v>0.7379594584038986</v>
      </c>
      <c r="G113" s="37">
        <f t="shared" si="22"/>
        <v>0.8414032391915947</v>
      </c>
    </row>
    <row r="114" spans="2:7" ht="13.5">
      <c r="B114" s="35">
        <v>7</v>
      </c>
      <c r="C114" s="36">
        <f>C112*C109</f>
        <v>0.8693541781597368</v>
      </c>
      <c r="D114" s="36">
        <f t="shared" si="23"/>
        <v>1.2668615834434866</v>
      </c>
      <c r="E114" s="36">
        <f t="shared" si="24"/>
        <v>1.072955995323776</v>
      </c>
      <c r="F114" s="36">
        <f t="shared" si="21"/>
        <v>0.6862266482157621</v>
      </c>
      <c r="G114" s="37">
        <f t="shared" si="22"/>
        <v>0.8102421552688187</v>
      </c>
    </row>
    <row r="115" spans="2:7" ht="13.5">
      <c r="B115" s="35">
        <v>8</v>
      </c>
      <c r="C115" s="36">
        <f>C111*C111</f>
        <v>0.8521392439387518</v>
      </c>
      <c r="D115" s="36">
        <f t="shared" si="23"/>
        <v>1.337954953199144</v>
      </c>
      <c r="E115" s="36">
        <f t="shared" si="24"/>
        <v>1.0943175335329005</v>
      </c>
      <c r="F115" s="36">
        <f t="shared" si="21"/>
        <v>0.6368968117358714</v>
      </c>
      <c r="G115" s="37">
        <f t="shared" si="22"/>
        <v>0.7786946821437659</v>
      </c>
    </row>
    <row r="116" spans="2:7" ht="13.5">
      <c r="B116" s="35">
        <v>9</v>
      </c>
      <c r="C116" s="36">
        <f>C114*C109</f>
        <v>0.8352651995043211</v>
      </c>
      <c r="D116" s="36">
        <f t="shared" si="23"/>
        <v>1.4142135623730951</v>
      </c>
      <c r="E116" s="36">
        <f t="shared" si="24"/>
        <v>1.118033988749895</v>
      </c>
      <c r="F116" s="36">
        <f t="shared" si="21"/>
        <v>0.5906216866586399</v>
      </c>
      <c r="G116" s="37">
        <f t="shared" si="22"/>
        <v>0.7470839061326342</v>
      </c>
    </row>
    <row r="117" spans="2:7" ht="13.5">
      <c r="B117" s="35">
        <v>10</v>
      </c>
      <c r="C117" s="36">
        <f>C112*C112</f>
        <v>0.8187252945636414</v>
      </c>
      <c r="D117" s="36">
        <f t="shared" si="23"/>
        <v>1.4948471163415233</v>
      </c>
      <c r="E117" s="36">
        <f t="shared" si="24"/>
        <v>1.1439589045541112</v>
      </c>
      <c r="F117" s="36">
        <f t="shared" si="21"/>
        <v>0.5476983469502774</v>
      </c>
      <c r="G117" s="37">
        <f t="shared" si="22"/>
        <v>0.7156946733875564</v>
      </c>
    </row>
    <row r="118" spans="2:7" ht="13.5">
      <c r="B118" s="35">
        <v>11</v>
      </c>
      <c r="C118" s="36">
        <f>$C$9^B118</f>
        <v>0.8025129124930742</v>
      </c>
      <c r="D118" s="36">
        <f t="shared" si="23"/>
        <v>1.5791856003946552</v>
      </c>
      <c r="E118" s="36">
        <f t="shared" si="24"/>
        <v>1.171945728318277</v>
      </c>
      <c r="F118" s="36">
        <f t="shared" si="21"/>
        <v>0.5081815033600343</v>
      </c>
      <c r="G118" s="37">
        <f t="shared" si="22"/>
        <v>0.6847696895014644</v>
      </c>
    </row>
    <row r="119" spans="2:7" ht="13.5">
      <c r="B119" s="35">
        <v>12</v>
      </c>
      <c r="C119" s="36">
        <f>$C$9^B119</f>
        <v>0.7866215676912311</v>
      </c>
      <c r="D119" s="36">
        <f t="shared" si="23"/>
        <v>1.6666666666666667</v>
      </c>
      <c r="E119" s="36">
        <f t="shared" si="24"/>
        <v>1.2018504251546631</v>
      </c>
      <c r="F119" s="36">
        <f t="shared" si="21"/>
        <v>0.47197294061473866</v>
      </c>
      <c r="G119" s="37">
        <f t="shared" si="22"/>
        <v>0.6545087069299849</v>
      </c>
    </row>
    <row r="120" spans="2:7" ht="13.5">
      <c r="B120" s="35">
        <v>13</v>
      </c>
      <c r="C120" s="36">
        <f>$C$9^B120</f>
        <v>0.771044902984474</v>
      </c>
      <c r="D120" s="36">
        <f t="shared" si="23"/>
        <v>1.7568209223157663</v>
      </c>
      <c r="E120" s="36">
        <f t="shared" si="24"/>
        <v>1.233533517287473</v>
      </c>
      <c r="F120" s="36">
        <f t="shared" si="21"/>
        <v>0.43888645290500955</v>
      </c>
      <c r="G120" s="37">
        <f t="shared" si="22"/>
        <v>0.6250700870131145</v>
      </c>
    </row>
    <row r="121" spans="2:7" ht="13.5">
      <c r="B121" s="35">
        <v>14</v>
      </c>
      <c r="C121" s="36">
        <f>$C$9^B121</f>
        <v>0.7557766870837913</v>
      </c>
      <c r="D121" s="36">
        <f t="shared" si="23"/>
        <v>1.8492574418992487</v>
      </c>
      <c r="E121" s="36">
        <f t="shared" si="24"/>
        <v>1.2668615834434866</v>
      </c>
      <c r="F121" s="36">
        <f t="shared" si="21"/>
        <v>0.4086919808783268</v>
      </c>
      <c r="G121" s="37">
        <f t="shared" si="22"/>
        <v>0.5965740037909246</v>
      </c>
    </row>
    <row r="122" spans="2:7" ht="13.5">
      <c r="B122" s="35">
        <v>15</v>
      </c>
      <c r="C122" s="36">
        <f>$C$9^B122</f>
        <v>0.7408108120920331</v>
      </c>
      <c r="D122" s="36">
        <f t="shared" si="23"/>
        <v>1.9436506316151003</v>
      </c>
      <c r="E122" s="36">
        <f t="shared" si="24"/>
        <v>1.3017082793177759</v>
      </c>
      <c r="F122" s="36">
        <f t="shared" si="21"/>
        <v>0.38114401839616996</v>
      </c>
      <c r="G122" s="37">
        <f t="shared" si="22"/>
        <v>0.5691066300049128</v>
      </c>
    </row>
    <row r="123" spans="2:7" ht="13.5">
      <c r="B123" s="32"/>
      <c r="C123" s="33"/>
      <c r="D123" s="33"/>
      <c r="E123" s="33"/>
      <c r="F123" s="33"/>
      <c r="G123" s="34"/>
    </row>
    <row r="124" spans="2:7" ht="13.5">
      <c r="B124" s="18"/>
      <c r="C124" s="19"/>
      <c r="D124" s="19"/>
      <c r="E124" s="19" t="s">
        <v>8</v>
      </c>
      <c r="F124" s="36">
        <f>SUM(F108:F122)</f>
        <v>9.848345885329548</v>
      </c>
      <c r="G124" s="37">
        <f>SUM(G108:G122)</f>
        <v>11.658653293293721</v>
      </c>
    </row>
    <row r="126" spans="2:7" ht="13.5">
      <c r="B126" s="18" t="s">
        <v>2</v>
      </c>
      <c r="C126" s="19" t="s">
        <v>3</v>
      </c>
      <c r="D126" s="19" t="s">
        <v>4</v>
      </c>
      <c r="E126" s="19" t="s">
        <v>5</v>
      </c>
      <c r="F126" s="19" t="s">
        <v>6</v>
      </c>
      <c r="G126" s="21" t="s">
        <v>7</v>
      </c>
    </row>
    <row r="127" spans="2:7" ht="13.5">
      <c r="B127" s="35">
        <v>1</v>
      </c>
      <c r="C127" s="36">
        <f>$C$9</f>
        <v>0.9801980198019802</v>
      </c>
      <c r="D127" s="36">
        <f>SQRT(1+(((2*B127*$C$3)/(7*$C$2))*((2*B127*$C$3)/(7*$C$2))))</f>
        <v>1.0045249099870945</v>
      </c>
      <c r="E127" s="36">
        <f>SQRT(1+(((B127*$C$3)/(7*$C$2))*((B127*$C$3)/(7*$C$2))))</f>
        <v>1.001133144839459</v>
      </c>
      <c r="F127" s="36">
        <f aca="true" t="shared" si="25" ref="F127:F141">C127/D127</f>
        <v>0.9757826909584284</v>
      </c>
      <c r="G127" s="37">
        <f aca="true" t="shared" si="26" ref="G127:G141">C127/E127</f>
        <v>0.9790885706407854</v>
      </c>
    </row>
    <row r="128" spans="2:7" ht="13.5">
      <c r="B128" s="35">
        <v>2</v>
      </c>
      <c r="C128" s="36">
        <f>$C$9*$C$9</f>
        <v>0.9607881580237231</v>
      </c>
      <c r="D128" s="36">
        <f aca="true" t="shared" si="27" ref="D128:D141">SQRT(1+(((2*B128*$C$3)/(7*$C$2))*((2*B128*$C$3)/(7*$C$2))))</f>
        <v>1.017978967925331</v>
      </c>
      <c r="E128" s="36">
        <f aca="true" t="shared" si="28" ref="E128:E141">SQRT(1+(((B128*$C$3)/(7*$C$2))*((B128*$C$3)/(7*$C$2))))</f>
        <v>1.0045249099870945</v>
      </c>
      <c r="F128" s="36">
        <f t="shared" si="25"/>
        <v>0.9438192617887141</v>
      </c>
      <c r="G128" s="37">
        <f t="shared" si="26"/>
        <v>0.956460261434499</v>
      </c>
    </row>
    <row r="129" spans="2:7" ht="13.5">
      <c r="B129" s="35">
        <v>3</v>
      </c>
      <c r="C129" s="36">
        <f>$C$9*$C$9*$C$9</f>
        <v>0.9417626499440453</v>
      </c>
      <c r="D129" s="36">
        <f t="shared" si="27"/>
        <v>1.0400156984686455</v>
      </c>
      <c r="E129" s="36">
        <f t="shared" si="28"/>
        <v>1.0101525445522108</v>
      </c>
      <c r="F129" s="36">
        <f t="shared" si="25"/>
        <v>0.9055273409148811</v>
      </c>
      <c r="G129" s="37">
        <f t="shared" si="26"/>
        <v>0.932297458461106</v>
      </c>
    </row>
    <row r="130" spans="2:7" ht="13.5">
      <c r="B130" s="35">
        <v>4</v>
      </c>
      <c r="C130" s="36">
        <f>$C$9*$C$9*$C$9*$C$9</f>
        <v>0.9231138845986187</v>
      </c>
      <c r="D130" s="36">
        <f t="shared" si="27"/>
        <v>1.0701050025830585</v>
      </c>
      <c r="E130" s="36">
        <f t="shared" si="28"/>
        <v>1.017978967925331</v>
      </c>
      <c r="F130" s="36">
        <f t="shared" si="25"/>
        <v>0.862638603100044</v>
      </c>
      <c r="G130" s="37">
        <f t="shared" si="26"/>
        <v>0.9068103700412887</v>
      </c>
    </row>
    <row r="131" spans="2:7" ht="13.5">
      <c r="B131" s="35">
        <v>5</v>
      </c>
      <c r="C131" s="36">
        <f>$C$9*$C$9*$C$9*$C$9*$C$9</f>
        <v>0.9048344017352796</v>
      </c>
      <c r="D131" s="36">
        <f t="shared" si="27"/>
        <v>1.1075907952012387</v>
      </c>
      <c r="E131" s="36">
        <f t="shared" si="28"/>
        <v>1.027953959282043</v>
      </c>
      <c r="F131" s="36">
        <f t="shared" si="25"/>
        <v>0.8169392574004553</v>
      </c>
      <c r="G131" s="37">
        <f t="shared" si="26"/>
        <v>0.8802285292691959</v>
      </c>
    </row>
    <row r="132" spans="2:7" ht="13.5">
      <c r="B132" s="35">
        <v>6</v>
      </c>
      <c r="C132" s="36">
        <f>C129*C129</f>
        <v>0.8869168888296305</v>
      </c>
      <c r="D132" s="36">
        <f t="shared" si="27"/>
        <v>1.1517511068997928</v>
      </c>
      <c r="E132" s="36">
        <f t="shared" si="28"/>
        <v>1.0400156984686455</v>
      </c>
      <c r="F132" s="36">
        <f t="shared" si="25"/>
        <v>0.7700595063606881</v>
      </c>
      <c r="G132" s="37">
        <f t="shared" si="26"/>
        <v>0.8527918281767833</v>
      </c>
    </row>
    <row r="133" spans="2:7" ht="13.5">
      <c r="B133" s="35">
        <v>7</v>
      </c>
      <c r="C133" s="36">
        <f>C131*C128</f>
        <v>0.8693541781597368</v>
      </c>
      <c r="D133" s="36">
        <f t="shared" si="27"/>
        <v>1.2018504251546631</v>
      </c>
      <c r="E133" s="36">
        <f t="shared" si="28"/>
        <v>1.0540925533894598</v>
      </c>
      <c r="F133" s="36">
        <f t="shared" si="25"/>
        <v>0.7233463998216432</v>
      </c>
      <c r="G133" s="37">
        <f t="shared" si="26"/>
        <v>0.824741788910573</v>
      </c>
    </row>
    <row r="134" spans="2:7" ht="13.5">
      <c r="B134" s="35">
        <v>8</v>
      </c>
      <c r="C134" s="36">
        <f>C130*C130</f>
        <v>0.8521392439387518</v>
      </c>
      <c r="D134" s="36">
        <f t="shared" si="27"/>
        <v>1.2571789316613415</v>
      </c>
      <c r="E134" s="36">
        <f t="shared" si="28"/>
        <v>1.0701050025830585</v>
      </c>
      <c r="F134" s="36">
        <f t="shared" si="25"/>
        <v>0.6778185845133944</v>
      </c>
      <c r="G134" s="37">
        <f t="shared" si="26"/>
        <v>0.7963136719124077</v>
      </c>
    </row>
    <row r="135" spans="2:7" ht="13.5">
      <c r="B135" s="35">
        <v>9</v>
      </c>
      <c r="C135" s="36">
        <f>C133*C128</f>
        <v>0.8352651995043211</v>
      </c>
      <c r="D135" s="36">
        <f t="shared" si="27"/>
        <v>1.3170777796132696</v>
      </c>
      <c r="E135" s="36">
        <f t="shared" si="28"/>
        <v>1.0879675865519869</v>
      </c>
      <c r="F135" s="36">
        <f t="shared" si="25"/>
        <v>0.6341806174496225</v>
      </c>
      <c r="G135" s="37">
        <f t="shared" si="26"/>
        <v>0.7677298568714384</v>
      </c>
    </row>
    <row r="136" spans="2:7" ht="13.5">
      <c r="B136" s="35">
        <v>10</v>
      </c>
      <c r="C136" s="36">
        <f>C131*C131</f>
        <v>0.8187252945636414</v>
      </c>
      <c r="D136" s="36">
        <f t="shared" si="27"/>
        <v>1.380952380952381</v>
      </c>
      <c r="E136" s="36">
        <f t="shared" si="28"/>
        <v>1.1075907952012387</v>
      </c>
      <c r="F136" s="36">
        <f t="shared" si="25"/>
        <v>0.5928700408909128</v>
      </c>
      <c r="G136" s="37">
        <f t="shared" si="26"/>
        <v>0.7391947442240046</v>
      </c>
    </row>
    <row r="137" spans="2:7" ht="13.5">
      <c r="B137" s="35">
        <v>11</v>
      </c>
      <c r="C137" s="36">
        <f>$C$9^B137</f>
        <v>0.8025129124930742</v>
      </c>
      <c r="D137" s="36">
        <f t="shared" si="27"/>
        <v>1.4482767929281475</v>
      </c>
      <c r="E137" s="36">
        <f t="shared" si="28"/>
        <v>1.1288828182028283</v>
      </c>
      <c r="F137" s="36">
        <f t="shared" si="25"/>
        <v>0.5541157024760037</v>
      </c>
      <c r="G137" s="37">
        <f t="shared" si="26"/>
        <v>0.710891245355889</v>
      </c>
    </row>
    <row r="138" spans="2:7" ht="13.5">
      <c r="B138" s="35">
        <v>12</v>
      </c>
      <c r="C138" s="36">
        <f>$C$9^B138</f>
        <v>0.7866215676912311</v>
      </c>
      <c r="D138" s="36">
        <f t="shared" si="27"/>
        <v>1.5185922589620926</v>
      </c>
      <c r="E138" s="36">
        <f t="shared" si="28"/>
        <v>1.1517511068997928</v>
      </c>
      <c r="F138" s="36">
        <f t="shared" si="25"/>
        <v>0.5179939269734332</v>
      </c>
      <c r="G138" s="37">
        <f t="shared" si="26"/>
        <v>0.6829787815951025</v>
      </c>
    </row>
    <row r="139" spans="2:7" ht="13.5">
      <c r="B139" s="35">
        <v>13</v>
      </c>
      <c r="C139" s="36">
        <f>$C$9^B139</f>
        <v>0.771044902984474</v>
      </c>
      <c r="D139" s="36">
        <f t="shared" si="27"/>
        <v>1.5915023778160384</v>
      </c>
      <c r="E139" s="36">
        <f t="shared" si="28"/>
        <v>1.1761037176408065</v>
      </c>
      <c r="F139" s="36">
        <f t="shared" si="25"/>
        <v>0.48447612377592</v>
      </c>
      <c r="G139" s="37">
        <f t="shared" si="26"/>
        <v>0.655592607539022</v>
      </c>
    </row>
    <row r="140" spans="2:7" ht="13.5">
      <c r="B140" s="35">
        <v>14</v>
      </c>
      <c r="C140" s="36">
        <f>$C$9^B140</f>
        <v>0.7557766870837913</v>
      </c>
      <c r="D140" s="36">
        <f t="shared" si="27"/>
        <v>1.6666666666666667</v>
      </c>
      <c r="E140" s="36">
        <f t="shared" si="28"/>
        <v>1.2018504251546631</v>
      </c>
      <c r="F140" s="36">
        <f t="shared" si="25"/>
        <v>0.4534660122502748</v>
      </c>
      <c r="G140" s="37">
        <f t="shared" si="26"/>
        <v>0.6288442149417489</v>
      </c>
    </row>
    <row r="141" spans="2:7" ht="13.5">
      <c r="B141" s="35">
        <v>15</v>
      </c>
      <c r="C141" s="36">
        <f>$C$9^B141</f>
        <v>0.7408108120920331</v>
      </c>
      <c r="D141" s="36">
        <f t="shared" si="27"/>
        <v>1.743793659390529</v>
      </c>
      <c r="E141" s="36">
        <f t="shared" si="28"/>
        <v>1.228903609577518</v>
      </c>
      <c r="F141" s="36">
        <f t="shared" si="25"/>
        <v>0.42482710503199844</v>
      </c>
      <c r="G141" s="37">
        <f t="shared" si="26"/>
        <v>0.6028225536311304</v>
      </c>
    </row>
    <row r="142" spans="2:7" ht="13.5">
      <c r="B142" s="32"/>
      <c r="C142" s="33"/>
      <c r="D142" s="33"/>
      <c r="E142" s="33"/>
      <c r="F142" s="33"/>
      <c r="G142" s="34"/>
    </row>
    <row r="143" spans="2:7" ht="13.5">
      <c r="B143" s="18"/>
      <c r="C143" s="19"/>
      <c r="D143" s="19"/>
      <c r="E143" s="19" t="s">
        <v>8</v>
      </c>
      <c r="F143" s="36">
        <f>SUM(F127:F141)</f>
        <v>10.337861173706413</v>
      </c>
      <c r="G143" s="37">
        <f>SUM(G127:G141)</f>
        <v>11.916786483004973</v>
      </c>
    </row>
    <row r="145" spans="2:7" ht="13.5">
      <c r="B145" s="18" t="s">
        <v>2</v>
      </c>
      <c r="C145" s="19" t="s">
        <v>3</v>
      </c>
      <c r="D145" s="19" t="s">
        <v>4</v>
      </c>
      <c r="E145" s="19" t="s">
        <v>5</v>
      </c>
      <c r="F145" s="19" t="s">
        <v>6</v>
      </c>
      <c r="G145" s="21" t="s">
        <v>7</v>
      </c>
    </row>
    <row r="146" spans="2:7" ht="13.5">
      <c r="B146" s="35">
        <v>1</v>
      </c>
      <c r="C146" s="36">
        <f>$C$9</f>
        <v>0.9801980198019802</v>
      </c>
      <c r="D146" s="36">
        <f>SQRT(1+(((2*B146*$C$3)/(8*$C$2))*((2*B146*$C$3)/(8*$C$2))))</f>
        <v>1.0034662148993578</v>
      </c>
      <c r="E146" s="36">
        <f>SQRT(1+(((B146*$C$3)/(8*$C$2))*((B146*$C$3)/(8*$C$2))))</f>
        <v>1.0008676791220261</v>
      </c>
      <c r="F146" s="36">
        <f aca="true" t="shared" si="29" ref="F146:F160">C146/D146</f>
        <v>0.976812178873694</v>
      </c>
      <c r="G146" s="37">
        <f aca="true" t="shared" si="30" ref="G146:G160">C146/E146</f>
        <v>0.9793482597637905</v>
      </c>
    </row>
    <row r="147" spans="2:7" ht="13.5">
      <c r="B147" s="35">
        <v>2</v>
      </c>
      <c r="C147" s="36">
        <f>$C$9*$C$9</f>
        <v>0.9607881580237231</v>
      </c>
      <c r="D147" s="36">
        <f aca="true" t="shared" si="31" ref="D147:D160">SQRT(1+(((2*B147*$C$3)/(8*$C$2))*((2*B147*$C$3)/(8*$C$2))))</f>
        <v>1.0137937550497031</v>
      </c>
      <c r="E147" s="36">
        <f aca="true" t="shared" si="32" ref="E147:E160">SQRT(1+(((B147*$C$3)/(8*$C$2))*((B147*$C$3)/(8*$C$2))))</f>
        <v>1.0034662148993578</v>
      </c>
      <c r="F147" s="36">
        <f t="shared" si="29"/>
        <v>0.9477156011644781</v>
      </c>
      <c r="G147" s="37">
        <f t="shared" si="30"/>
        <v>0.9574693634504524</v>
      </c>
    </row>
    <row r="148" spans="2:7" ht="13.5">
      <c r="B148" s="35">
        <v>3</v>
      </c>
      <c r="C148" s="36">
        <f>$C$9*$C$9*$C$9</f>
        <v>0.9417626499440453</v>
      </c>
      <c r="D148" s="36">
        <f t="shared" si="31"/>
        <v>1.0307764064044151</v>
      </c>
      <c r="E148" s="36">
        <f t="shared" si="32"/>
        <v>1.0077822185373186</v>
      </c>
      <c r="F148" s="36">
        <f t="shared" si="29"/>
        <v>0.9136439717602092</v>
      </c>
      <c r="G148" s="37">
        <f t="shared" si="30"/>
        <v>0.9344902426547145</v>
      </c>
    </row>
    <row r="149" spans="2:7" ht="13.5">
      <c r="B149" s="35">
        <v>4</v>
      </c>
      <c r="C149" s="36">
        <f>$C$9*$C$9*$C$9*$C$9</f>
        <v>0.9231138845986187</v>
      </c>
      <c r="D149" s="36">
        <f t="shared" si="31"/>
        <v>1.0540925533894598</v>
      </c>
      <c r="E149" s="36">
        <f t="shared" si="32"/>
        <v>1.0137937550497031</v>
      </c>
      <c r="F149" s="36">
        <f t="shared" si="29"/>
        <v>0.8757427245172389</v>
      </c>
      <c r="G149" s="37">
        <f t="shared" si="30"/>
        <v>0.9105539267731643</v>
      </c>
    </row>
    <row r="150" spans="2:7" ht="13.5">
      <c r="B150" s="35">
        <v>5</v>
      </c>
      <c r="C150" s="36">
        <f>$C$9*$C$9*$C$9*$C$9*$C$9</f>
        <v>0.9048344017352796</v>
      </c>
      <c r="D150" s="36">
        <f t="shared" si="31"/>
        <v>1.0833333333333333</v>
      </c>
      <c r="E150" s="36">
        <f t="shared" si="32"/>
        <v>1.0214708893442719</v>
      </c>
      <c r="F150" s="36">
        <f t="shared" si="29"/>
        <v>0.8352317554479505</v>
      </c>
      <c r="G150" s="37">
        <f t="shared" si="30"/>
        <v>0.8858151624038287</v>
      </c>
    </row>
    <row r="151" spans="2:7" ht="13.5">
      <c r="B151" s="35">
        <v>6</v>
      </c>
      <c r="C151" s="36">
        <f>C148*C148</f>
        <v>0.8869168888296305</v>
      </c>
      <c r="D151" s="36">
        <f t="shared" si="31"/>
        <v>1.118033988749895</v>
      </c>
      <c r="E151" s="36">
        <f t="shared" si="32"/>
        <v>1.0307764064044151</v>
      </c>
      <c r="F151" s="36">
        <f t="shared" si="29"/>
        <v>0.7932825815262711</v>
      </c>
      <c r="G151" s="37">
        <f t="shared" si="30"/>
        <v>0.8604357679502971</v>
      </c>
    </row>
    <row r="152" spans="2:7" ht="13.5">
      <c r="B152" s="35">
        <v>7</v>
      </c>
      <c r="C152" s="36">
        <f>C150*C147</f>
        <v>0.8693541781597368</v>
      </c>
      <c r="D152" s="36">
        <f t="shared" si="31"/>
        <v>1.1577036657874837</v>
      </c>
      <c r="E152" s="36">
        <f t="shared" si="32"/>
        <v>1.0416666666666667</v>
      </c>
      <c r="F152" s="36">
        <f t="shared" si="29"/>
        <v>0.7509297965022783</v>
      </c>
      <c r="G152" s="37">
        <f t="shared" si="30"/>
        <v>0.8345800110333473</v>
      </c>
    </row>
    <row r="153" spans="2:7" ht="13.5">
      <c r="B153" s="35">
        <v>8</v>
      </c>
      <c r="C153" s="36">
        <f>C149*C149</f>
        <v>0.8521392439387518</v>
      </c>
      <c r="D153" s="36">
        <f t="shared" si="31"/>
        <v>1.2018504251546631</v>
      </c>
      <c r="E153" s="36">
        <f t="shared" si="32"/>
        <v>1.0540925533894598</v>
      </c>
      <c r="F153" s="36">
        <f t="shared" si="29"/>
        <v>0.709022708736066</v>
      </c>
      <c r="G153" s="37">
        <f t="shared" si="30"/>
        <v>0.8084102683380864</v>
      </c>
    </row>
    <row r="154" spans="2:7" ht="13.5">
      <c r="B154" s="35">
        <v>9</v>
      </c>
      <c r="C154" s="36">
        <f>C152*C147</f>
        <v>0.8352651995043211</v>
      </c>
      <c r="D154" s="36">
        <f t="shared" si="31"/>
        <v>1.25</v>
      </c>
      <c r="E154" s="36">
        <f t="shared" si="32"/>
        <v>1.0680004681646913</v>
      </c>
      <c r="F154" s="36">
        <f t="shared" si="29"/>
        <v>0.6682121596034569</v>
      </c>
      <c r="G154" s="37">
        <f t="shared" si="30"/>
        <v>0.782083177303925</v>
      </c>
    </row>
    <row r="155" spans="2:7" ht="13.5">
      <c r="B155" s="35">
        <v>10</v>
      </c>
      <c r="C155" s="36">
        <f>C150*C150</f>
        <v>0.8187252945636414</v>
      </c>
      <c r="D155" s="36">
        <f t="shared" si="31"/>
        <v>1.3017082793177759</v>
      </c>
      <c r="E155" s="36">
        <f t="shared" si="32"/>
        <v>1.0833333333333333</v>
      </c>
      <c r="F155" s="36">
        <f t="shared" si="29"/>
        <v>0.628962193428419</v>
      </c>
      <c r="G155" s="37">
        <f t="shared" si="30"/>
        <v>0.7557464257510537</v>
      </c>
    </row>
    <row r="156" spans="2:7" ht="13.5">
      <c r="B156" s="35">
        <v>11</v>
      </c>
      <c r="C156" s="36">
        <f>$C$9^B156</f>
        <v>0.8025129124930742</v>
      </c>
      <c r="D156" s="36">
        <f t="shared" si="31"/>
        <v>1.3565683830083088</v>
      </c>
      <c r="E156" s="36">
        <f t="shared" si="32"/>
        <v>1.1000315652036738</v>
      </c>
      <c r="F156" s="36">
        <f t="shared" si="29"/>
        <v>0.591575716008825</v>
      </c>
      <c r="G156" s="37">
        <f t="shared" si="30"/>
        <v>0.7295362586658927</v>
      </c>
    </row>
    <row r="157" spans="2:7" ht="13.5">
      <c r="B157" s="35">
        <v>12</v>
      </c>
      <c r="C157" s="36">
        <f>$C$9^B157</f>
        <v>0.7866215676912311</v>
      </c>
      <c r="D157" s="36">
        <f t="shared" si="31"/>
        <v>1.4142135623730951</v>
      </c>
      <c r="E157" s="36">
        <f t="shared" si="32"/>
        <v>1.118033988749895</v>
      </c>
      <c r="F157" s="36">
        <f t="shared" si="29"/>
        <v>0.5562254447420624</v>
      </c>
      <c r="G157" s="37">
        <f t="shared" si="30"/>
        <v>0.703575719170018</v>
      </c>
    </row>
    <row r="158" spans="2:7" ht="13.5">
      <c r="B158" s="35">
        <v>13</v>
      </c>
      <c r="C158" s="36">
        <f>$C$9^B158</f>
        <v>0.771044902984474</v>
      </c>
      <c r="D158" s="36">
        <f t="shared" si="31"/>
        <v>1.4743171677461775</v>
      </c>
      <c r="E158" s="36">
        <f t="shared" si="32"/>
        <v>1.1372786719963484</v>
      </c>
      <c r="F158" s="36">
        <f t="shared" si="29"/>
        <v>0.5229844160081158</v>
      </c>
      <c r="G158" s="37">
        <f t="shared" si="30"/>
        <v>0.6779735890333743</v>
      </c>
    </row>
    <row r="159" spans="2:7" ht="13.5">
      <c r="B159" s="35">
        <v>14</v>
      </c>
      <c r="C159" s="36">
        <f>$C$9^B159</f>
        <v>0.7557766870837913</v>
      </c>
      <c r="D159" s="36">
        <f t="shared" si="31"/>
        <v>1.5365907428821481</v>
      </c>
      <c r="E159" s="36">
        <f t="shared" si="32"/>
        <v>1.1577036657874837</v>
      </c>
      <c r="F159" s="36">
        <f t="shared" si="29"/>
        <v>0.4918529482132622</v>
      </c>
      <c r="G159" s="37">
        <f t="shared" si="30"/>
        <v>0.6528239560938965</v>
      </c>
    </row>
    <row r="160" spans="2:7" ht="13.5">
      <c r="B160" s="35">
        <v>15</v>
      </c>
      <c r="C160" s="36">
        <f>$C$9^B160</f>
        <v>0.7408108120920331</v>
      </c>
      <c r="D160" s="36">
        <f t="shared" si="31"/>
        <v>1.6007810593582121</v>
      </c>
      <c r="E160" s="36">
        <f t="shared" si="32"/>
        <v>1.1792476415070754</v>
      </c>
      <c r="F160" s="36">
        <f t="shared" si="29"/>
        <v>0.4627808454886643</v>
      </c>
      <c r="G160" s="37">
        <f t="shared" si="30"/>
        <v>0.6282063122426761</v>
      </c>
    </row>
    <row r="161" spans="2:7" ht="13.5">
      <c r="B161" s="32"/>
      <c r="C161" s="33"/>
      <c r="D161" s="33"/>
      <c r="E161" s="33"/>
      <c r="F161" s="33"/>
      <c r="G161" s="34"/>
    </row>
    <row r="162" spans="2:7" ht="13.5">
      <c r="B162" s="18"/>
      <c r="C162" s="19"/>
      <c r="D162" s="19"/>
      <c r="E162" s="19" t="s">
        <v>8</v>
      </c>
      <c r="F162" s="36">
        <f>SUM(F146:F160)</f>
        <v>10.724975042020993</v>
      </c>
      <c r="G162" s="37">
        <f>SUM(G146:G160)</f>
        <v>12.101048440628519</v>
      </c>
    </row>
    <row r="164" spans="2:7" ht="13.5">
      <c r="B164" s="18" t="s">
        <v>2</v>
      </c>
      <c r="C164" s="19" t="s">
        <v>3</v>
      </c>
      <c r="D164" s="19" t="s">
        <v>4</v>
      </c>
      <c r="E164" s="19" t="s">
        <v>5</v>
      </c>
      <c r="F164" s="19" t="s">
        <v>6</v>
      </c>
      <c r="G164" s="21" t="s">
        <v>7</v>
      </c>
    </row>
    <row r="165" spans="2:7" ht="13.5">
      <c r="B165" s="35">
        <v>1</v>
      </c>
      <c r="C165" s="36">
        <f>$C$9</f>
        <v>0.9801980198019802</v>
      </c>
      <c r="D165" s="36">
        <f>SQRT(1+(((2*B165*$C$3)/(9*$C$2))*((2*B165*$C$3)/(9*$C$2))))</f>
        <v>1.002739731161547</v>
      </c>
      <c r="E165" s="36">
        <f>SQRT(1+(((B165*$C$3)/(9*$C$2))*((B165*$C$3)/(9*$C$2))))</f>
        <v>1.0006856360078737</v>
      </c>
      <c r="F165" s="36">
        <f aca="true" t="shared" si="33" ref="F165:F179">C165/D165</f>
        <v>0.9775198781308336</v>
      </c>
      <c r="G165" s="37">
        <f aca="true" t="shared" si="34" ref="G165:G179">C165/E165</f>
        <v>0.9795264212169301</v>
      </c>
    </row>
    <row r="166" spans="2:7" ht="13.5">
      <c r="B166" s="35">
        <v>2</v>
      </c>
      <c r="C166" s="36">
        <f>$C$9*$C$9</f>
        <v>0.9607881580237231</v>
      </c>
      <c r="D166" s="36">
        <f aca="true" t="shared" si="35" ref="D166:D179">SQRT(1+(((2*B166*$C$3)/(9*$C$2))*((2*B166*$C$3)/(9*$C$2))))</f>
        <v>1.0109143751078653</v>
      </c>
      <c r="E166" s="36">
        <f aca="true" t="shared" si="36" ref="E166:E179">SQRT(1+(((B166*$C$3)/(9*$C$2))*((B166*$C$3)/(9*$C$2))))</f>
        <v>1.002739731161547</v>
      </c>
      <c r="F166" s="36">
        <f t="shared" si="33"/>
        <v>0.9504149725056648</v>
      </c>
      <c r="G166" s="37">
        <f t="shared" si="34"/>
        <v>0.9581630488609161</v>
      </c>
    </row>
    <row r="167" spans="2:7" ht="13.5">
      <c r="B167" s="35">
        <v>3</v>
      </c>
      <c r="C167" s="36">
        <f>$C$9*$C$9*$C$9</f>
        <v>0.9417626499440453</v>
      </c>
      <c r="D167" s="36">
        <f t="shared" si="35"/>
        <v>1.0243938285880987</v>
      </c>
      <c r="E167" s="36">
        <f t="shared" si="36"/>
        <v>1.0061539042374907</v>
      </c>
      <c r="F167" s="36">
        <f t="shared" si="33"/>
        <v>0.9193365126399266</v>
      </c>
      <c r="G167" s="37">
        <f t="shared" si="34"/>
        <v>0.9360025797025118</v>
      </c>
    </row>
    <row r="168" spans="2:7" ht="13.5">
      <c r="B168" s="35">
        <v>4</v>
      </c>
      <c r="C168" s="36">
        <f>$C$9*$C$9*$C$9*$C$9</f>
        <v>0.9231138845986187</v>
      </c>
      <c r="D168" s="36">
        <f t="shared" si="35"/>
        <v>1.0429724326169425</v>
      </c>
      <c r="E168" s="36">
        <f t="shared" si="36"/>
        <v>1.0109143751078653</v>
      </c>
      <c r="F168" s="36">
        <f t="shared" si="33"/>
        <v>0.8850798503680635</v>
      </c>
      <c r="G168" s="37">
        <f t="shared" si="34"/>
        <v>0.9131474507918851</v>
      </c>
    </row>
    <row r="169" spans="2:7" ht="13.5">
      <c r="B169" s="35">
        <v>5</v>
      </c>
      <c r="C169" s="36">
        <f>$C$9*$C$9*$C$9*$C$9*$C$9</f>
        <v>0.9048344017352796</v>
      </c>
      <c r="D169" s="36">
        <f t="shared" si="35"/>
        <v>1.0663837073250346</v>
      </c>
      <c r="E169" s="36">
        <f t="shared" si="36"/>
        <v>1.0170022383515542</v>
      </c>
      <c r="F169" s="36">
        <f t="shared" si="33"/>
        <v>0.8485073388874323</v>
      </c>
      <c r="G169" s="37">
        <f t="shared" si="34"/>
        <v>0.8897073847171801</v>
      </c>
    </row>
    <row r="170" spans="2:7" ht="13.5">
      <c r="B170" s="35">
        <v>6</v>
      </c>
      <c r="C170" s="36">
        <f>C167*C167</f>
        <v>0.8869168888296305</v>
      </c>
      <c r="D170" s="36">
        <f t="shared" si="35"/>
        <v>1.0943175335329005</v>
      </c>
      <c r="E170" s="36">
        <f t="shared" si="36"/>
        <v>1.0243938285880987</v>
      </c>
      <c r="F170" s="36">
        <f t="shared" si="33"/>
        <v>0.8104748956788651</v>
      </c>
      <c r="G170" s="37">
        <f t="shared" si="34"/>
        <v>0.8657967903340946</v>
      </c>
    </row>
    <row r="171" spans="2:7" ht="13.5">
      <c r="B171" s="35">
        <v>7</v>
      </c>
      <c r="C171" s="36">
        <f>C169*C166</f>
        <v>0.8693541781597368</v>
      </c>
      <c r="D171" s="36">
        <f t="shared" si="35"/>
        <v>1.1264375056107814</v>
      </c>
      <c r="E171" s="36">
        <f t="shared" si="36"/>
        <v>1.0330611615541743</v>
      </c>
      <c r="F171" s="36">
        <f t="shared" si="33"/>
        <v>0.7717731110953663</v>
      </c>
      <c r="G171" s="37">
        <f t="shared" si="34"/>
        <v>0.8415321478661043</v>
      </c>
    </row>
    <row r="172" spans="2:7" ht="13.5">
      <c r="B172" s="35">
        <v>8</v>
      </c>
      <c r="C172" s="36">
        <f>C168*C168</f>
        <v>0.8521392439387518</v>
      </c>
      <c r="D172" s="36">
        <f t="shared" si="35"/>
        <v>1.1623966538129789</v>
      </c>
      <c r="E172" s="36">
        <f t="shared" si="36"/>
        <v>1.0429724326169425</v>
      </c>
      <c r="F172" s="36">
        <f t="shared" si="33"/>
        <v>0.7330881770379346</v>
      </c>
      <c r="G172" s="37">
        <f t="shared" si="34"/>
        <v>0.8170294988532273</v>
      </c>
    </row>
    <row r="173" spans="2:7" ht="13.5">
      <c r="B173" s="35">
        <v>9</v>
      </c>
      <c r="C173" s="36">
        <f>C171*C166</f>
        <v>0.8352651995043211</v>
      </c>
      <c r="D173" s="36">
        <f t="shared" si="35"/>
        <v>1.2018504251546631</v>
      </c>
      <c r="E173" s="36">
        <f t="shared" si="36"/>
        <v>1.0540925533894598</v>
      </c>
      <c r="F173" s="36">
        <f t="shared" si="33"/>
        <v>0.694982655097728</v>
      </c>
      <c r="G173" s="37">
        <f t="shared" si="34"/>
        <v>0.7924021442125797</v>
      </c>
    </row>
    <row r="174" spans="2:7" ht="13.5">
      <c r="B174" s="35">
        <v>10</v>
      </c>
      <c r="C174" s="36">
        <f>C169*C169</f>
        <v>0.8187252945636414</v>
      </c>
      <c r="D174" s="36">
        <f t="shared" si="35"/>
        <v>1.2444664901045512</v>
      </c>
      <c r="E174" s="36">
        <f t="shared" si="36"/>
        <v>1.0663837073250346</v>
      </c>
      <c r="F174" s="36">
        <f t="shared" si="33"/>
        <v>0.6578925998199099</v>
      </c>
      <c r="G174" s="37">
        <f t="shared" si="34"/>
        <v>0.767758630350204</v>
      </c>
    </row>
    <row r="175" spans="2:7" ht="13.5">
      <c r="B175" s="35">
        <v>11</v>
      </c>
      <c r="C175" s="36">
        <f>$C$9^B175</f>
        <v>0.8025129124930742</v>
      </c>
      <c r="D175" s="36">
        <f t="shared" si="35"/>
        <v>1.289931464242074</v>
      </c>
      <c r="E175" s="36">
        <f t="shared" si="36"/>
        <v>1.0798059064528334</v>
      </c>
      <c r="F175" s="36">
        <f t="shared" si="33"/>
        <v>0.6221360860940061</v>
      </c>
      <c r="G175" s="37">
        <f t="shared" si="34"/>
        <v>0.7432010768762437</v>
      </c>
    </row>
    <row r="176" spans="2:7" ht="13.5">
      <c r="B176" s="35">
        <v>12</v>
      </c>
      <c r="C176" s="36">
        <f>$C$9^B176</f>
        <v>0.7866215676912311</v>
      </c>
      <c r="D176" s="36">
        <f t="shared" si="35"/>
        <v>1.337954953199144</v>
      </c>
      <c r="E176" s="36">
        <f t="shared" si="36"/>
        <v>1.0943175335329005</v>
      </c>
      <c r="F176" s="36">
        <f t="shared" si="33"/>
        <v>0.5879282899699754</v>
      </c>
      <c r="G176" s="37">
        <f t="shared" si="34"/>
        <v>0.7188238729500184</v>
      </c>
    </row>
    <row r="177" spans="2:7" ht="13.5">
      <c r="B177" s="35">
        <v>13</v>
      </c>
      <c r="C177" s="36">
        <f>$C$9^B177</f>
        <v>0.771044902984474</v>
      </c>
      <c r="D177" s="36">
        <f t="shared" si="35"/>
        <v>1.38827146770306</v>
      </c>
      <c r="E177" s="36">
        <f t="shared" si="36"/>
        <v>1.1098758565756812</v>
      </c>
      <c r="F177" s="36">
        <f t="shared" si="33"/>
        <v>0.5553992291292946</v>
      </c>
      <c r="G177" s="37">
        <f t="shared" si="34"/>
        <v>0.6947127450482543</v>
      </c>
    </row>
    <row r="178" spans="2:7" ht="13.5">
      <c r="B178" s="35">
        <v>14</v>
      </c>
      <c r="C178" s="36">
        <f>$C$9^B178</f>
        <v>0.7557766870837913</v>
      </c>
      <c r="D178" s="36">
        <f t="shared" si="35"/>
        <v>1.4406407658353129</v>
      </c>
      <c r="E178" s="36">
        <f t="shared" si="36"/>
        <v>1.1264375056107814</v>
      </c>
      <c r="F178" s="36">
        <f t="shared" si="33"/>
        <v>0.5246114819231681</v>
      </c>
      <c r="G178" s="37">
        <f t="shared" si="34"/>
        <v>0.6709441787220953</v>
      </c>
    </row>
    <row r="179" spans="2:7" ht="13.5">
      <c r="B179" s="35">
        <v>15</v>
      </c>
      <c r="C179" s="36">
        <f>$C$9^B179</f>
        <v>0.7408108120920331</v>
      </c>
      <c r="D179" s="36">
        <f t="shared" si="35"/>
        <v>1.4948471163415233</v>
      </c>
      <c r="E179" s="36">
        <f t="shared" si="36"/>
        <v>1.1439589045541112</v>
      </c>
      <c r="F179" s="36">
        <f t="shared" si="33"/>
        <v>0.495576306094156</v>
      </c>
      <c r="G179" s="37">
        <f t="shared" si="34"/>
        <v>0.647585161619756</v>
      </c>
    </row>
    <row r="180" spans="2:7" ht="13.5">
      <c r="B180" s="32"/>
      <c r="C180" s="33"/>
      <c r="D180" s="33"/>
      <c r="E180" s="33"/>
      <c r="F180" s="33"/>
      <c r="G180" s="34"/>
    </row>
    <row r="181" spans="2:7" ht="13.5">
      <c r="B181" s="18"/>
      <c r="C181" s="19"/>
      <c r="D181" s="19"/>
      <c r="E181" s="19" t="s">
        <v>8</v>
      </c>
      <c r="F181" s="36">
        <f>SUM(F165:F179)</f>
        <v>11.034721384472325</v>
      </c>
      <c r="G181" s="37">
        <f>SUM(G165:G179)</f>
        <v>12.236333132122</v>
      </c>
    </row>
  </sheetData>
  <sheetProtection/>
  <printOptions/>
  <pageMargins left="0.75" right="0.75" top="1" bottom="1" header="0.5" footer="0.5"/>
  <pageSetup orientation="portrait" paperSize="9"/>
  <ignoredErrors>
    <ignoredError sqref="L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2008-05-05T05:03:42Z</dcterms:created>
  <dcterms:modified xsi:type="dcterms:W3CDTF">2024-04-16T23:30:55Z</dcterms:modified>
  <cp:category/>
  <cp:version/>
  <cp:contentType/>
  <cp:contentStatus/>
</cp:coreProperties>
</file>